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4.POA 2015-PRESUPUESTO" sheetId="1" r:id="rId1"/>
  </sheets>
  <externalReferences>
    <externalReference r:id="rId2"/>
  </externalReferences>
  <definedNames>
    <definedName name="_xlnm._FilterDatabase" localSheetId="0" hidden="1">'4.POA 2015-PRESUPUESTO'!$A$5:$AS$214</definedName>
  </definedNames>
  <calcPr calcId="124519"/>
</workbook>
</file>

<file path=xl/calcChain.xml><?xml version="1.0" encoding="utf-8"?>
<calcChain xmlns="http://schemas.openxmlformats.org/spreadsheetml/2006/main">
  <c r="R231" i="1"/>
  <c r="Y231" s="1"/>
  <c r="Q231"/>
  <c r="Q230"/>
  <c r="Y229"/>
  <c r="Q229"/>
  <c r="Y228"/>
  <c r="Q228"/>
  <c r="Y227"/>
  <c r="Q227"/>
  <c r="Y226"/>
  <c r="Q226"/>
  <c r="Y225"/>
  <c r="Q225"/>
  <c r="Y224"/>
  <c r="Q224"/>
  <c r="AR214"/>
  <c r="AQ214"/>
  <c r="AP214"/>
  <c r="AO214"/>
  <c r="AN214"/>
  <c r="AM214"/>
  <c r="AL214"/>
  <c r="AK214"/>
  <c r="AJ214"/>
  <c r="AI214"/>
  <c r="AH214"/>
  <c r="AG214"/>
  <c r="X214"/>
  <c r="W214"/>
  <c r="V214"/>
  <c r="U214"/>
  <c r="T214"/>
  <c r="S214"/>
  <c r="R214"/>
  <c r="P214"/>
  <c r="O214"/>
  <c r="N214"/>
  <c r="M214"/>
  <c r="K214"/>
  <c r="J214"/>
  <c r="AS213"/>
  <c r="AS214" s="1"/>
  <c r="Y213"/>
  <c r="Y214" s="1"/>
  <c r="Q213"/>
  <c r="Q214" s="1"/>
  <c r="P213"/>
  <c r="AM212"/>
  <c r="AL212"/>
  <c r="AK212"/>
  <c r="AJ212"/>
  <c r="AI212"/>
  <c r="AH212"/>
  <c r="AG212"/>
  <c r="AF212"/>
  <c r="AE212"/>
  <c r="AB212"/>
  <c r="AA212"/>
  <c r="Z212"/>
  <c r="O212"/>
  <c r="N212"/>
  <c r="M212"/>
  <c r="L212"/>
  <c r="K212"/>
  <c r="AR211"/>
  <c r="AQ211"/>
  <c r="AP211"/>
  <c r="AO211"/>
  <c r="AS211" s="1"/>
  <c r="AN211"/>
  <c r="AM211"/>
  <c r="W211"/>
  <c r="V211"/>
  <c r="R211"/>
  <c r="Y211" s="1"/>
  <c r="Q211"/>
  <c r="J211"/>
  <c r="AR210"/>
  <c r="AQ210"/>
  <c r="AP210"/>
  <c r="AO210"/>
  <c r="AS210" s="1"/>
  <c r="AN210"/>
  <c r="Y210"/>
  <c r="W210"/>
  <c r="V210"/>
  <c r="R210"/>
  <c r="Q210"/>
  <c r="J210"/>
  <c r="AS209"/>
  <c r="Y209"/>
  <c r="R209"/>
  <c r="J209"/>
  <c r="P209" s="1"/>
  <c r="AS208"/>
  <c r="Y208"/>
  <c r="AS207"/>
  <c r="Y207"/>
  <c r="AS206"/>
  <c r="W206"/>
  <c r="W212" s="1"/>
  <c r="V206"/>
  <c r="V212" s="1"/>
  <c r="R206"/>
  <c r="Y206" s="1"/>
  <c r="Q206"/>
  <c r="J206"/>
  <c r="AR205"/>
  <c r="AQ205"/>
  <c r="AP205"/>
  <c r="AN205"/>
  <c r="AS205" s="1"/>
  <c r="X205"/>
  <c r="W205"/>
  <c r="U205"/>
  <c r="U212" s="1"/>
  <c r="T205"/>
  <c r="T212" s="1"/>
  <c r="S205"/>
  <c r="S212" s="1"/>
  <c r="R205"/>
  <c r="Q205"/>
  <c r="J205"/>
  <c r="AR204"/>
  <c r="AQ204"/>
  <c r="AP204"/>
  <c r="AO204"/>
  <c r="AN204"/>
  <c r="AS204" s="1"/>
  <c r="Y204"/>
  <c r="X204"/>
  <c r="Q204"/>
  <c r="J204"/>
  <c r="AR203"/>
  <c r="AQ203"/>
  <c r="AP203"/>
  <c r="AO203"/>
  <c r="AS203" s="1"/>
  <c r="AN203"/>
  <c r="Y203"/>
  <c r="X203"/>
  <c r="R203"/>
  <c r="Q203"/>
  <c r="J203"/>
  <c r="AR202"/>
  <c r="AQ202"/>
  <c r="AQ212" s="1"/>
  <c r="AP202"/>
  <c r="AO202"/>
  <c r="AS202" s="1"/>
  <c r="AN202"/>
  <c r="Y202"/>
  <c r="R202"/>
  <c r="Q202"/>
  <c r="J202"/>
  <c r="B202"/>
  <c r="B203" s="1"/>
  <c r="B204" s="1"/>
  <c r="B205" s="1"/>
  <c r="B206" s="1"/>
  <c r="B207" s="1"/>
  <c r="B208" s="1"/>
  <c r="B209" s="1"/>
  <c r="B210" s="1"/>
  <c r="B211" s="1"/>
  <c r="AR201"/>
  <c r="AQ201"/>
  <c r="AP201"/>
  <c r="AP212" s="1"/>
  <c r="AO201"/>
  <c r="AS201" s="1"/>
  <c r="AN201"/>
  <c r="X201"/>
  <c r="X212" s="1"/>
  <c r="Q201"/>
  <c r="J201"/>
  <c r="B201"/>
  <c r="AR200"/>
  <c r="AR212" s="1"/>
  <c r="AQ200"/>
  <c r="AP200"/>
  <c r="AO200"/>
  <c r="AO212" s="1"/>
  <c r="AN200"/>
  <c r="AN212" s="1"/>
  <c r="X200"/>
  <c r="R200"/>
  <c r="Y200" s="1"/>
  <c r="Q200"/>
  <c r="J200"/>
  <c r="J212" s="1"/>
  <c r="AR199"/>
  <c r="AQ199"/>
  <c r="AP199"/>
  <c r="AO199"/>
  <c r="AM199"/>
  <c r="AL199"/>
  <c r="AK199"/>
  <c r="AJ199"/>
  <c r="AI199"/>
  <c r="AH199"/>
  <c r="AG199"/>
  <c r="AF199"/>
  <c r="AE199"/>
  <c r="AD199"/>
  <c r="AC199"/>
  <c r="AB199"/>
  <c r="AA199"/>
  <c r="Z199"/>
  <c r="X199"/>
  <c r="W199"/>
  <c r="V199"/>
  <c r="U199"/>
  <c r="T199"/>
  <c r="S199"/>
  <c r="R199"/>
  <c r="P199"/>
  <c r="O199"/>
  <c r="N199"/>
  <c r="M199"/>
  <c r="L199"/>
  <c r="K199"/>
  <c r="J199"/>
  <c r="AN198"/>
  <c r="AS198" s="1"/>
  <c r="Y198"/>
  <c r="AS197"/>
  <c r="Y197"/>
  <c r="Q197"/>
  <c r="AS196"/>
  <c r="Y196"/>
  <c r="Q196"/>
  <c r="AS195"/>
  <c r="Y195"/>
  <c r="Q195"/>
  <c r="P195"/>
  <c r="AS194"/>
  <c r="Y194"/>
  <c r="Q194"/>
  <c r="AS193"/>
  <c r="Y193"/>
  <c r="Q193"/>
  <c r="Y192"/>
  <c r="AN192" s="1"/>
  <c r="AS192" s="1"/>
  <c r="Q192"/>
  <c r="AS191"/>
  <c r="Y191"/>
  <c r="Q191"/>
  <c r="AS190"/>
  <c r="Y190"/>
  <c r="Q190"/>
  <c r="AS189"/>
  <c r="Y189"/>
  <c r="Q189"/>
  <c r="AN188"/>
  <c r="AS188" s="1"/>
  <c r="Y188"/>
  <c r="Q188"/>
  <c r="AN187"/>
  <c r="AS187" s="1"/>
  <c r="Y187"/>
  <c r="Q187"/>
  <c r="AS186"/>
  <c r="Y186"/>
  <c r="Q186"/>
  <c r="AS185"/>
  <c r="Y185"/>
  <c r="Q185"/>
  <c r="AS184"/>
  <c r="Y184"/>
  <c r="Q184"/>
  <c r="AS183"/>
  <c r="Y183"/>
  <c r="Q183"/>
  <c r="AN182"/>
  <c r="AS182" s="1"/>
  <c r="Y182"/>
  <c r="Q182"/>
  <c r="AS181"/>
  <c r="Y181"/>
  <c r="Q181"/>
  <c r="AS180"/>
  <c r="Y180"/>
  <c r="Q180"/>
  <c r="AS179"/>
  <c r="Y179"/>
  <c r="Q179"/>
  <c r="AS178"/>
  <c r="AN178"/>
  <c r="Y178"/>
  <c r="Q178"/>
  <c r="AS177"/>
  <c r="AN177"/>
  <c r="Y177"/>
  <c r="Q177"/>
  <c r="AS176"/>
  <c r="AN176"/>
  <c r="Y176"/>
  <c r="Q176"/>
  <c r="AS175"/>
  <c r="Y175"/>
  <c r="Q175"/>
  <c r="AS174"/>
  <c r="Y174"/>
  <c r="Q174"/>
  <c r="Y173"/>
  <c r="AN173" s="1"/>
  <c r="AS173" s="1"/>
  <c r="Q173"/>
  <c r="Y172"/>
  <c r="AN172" s="1"/>
  <c r="AS172" s="1"/>
  <c r="Q172"/>
  <c r="Y171"/>
  <c r="AN171" s="1"/>
  <c r="AS171" s="1"/>
  <c r="Q171"/>
  <c r="AS170"/>
  <c r="Y170"/>
  <c r="Q170"/>
  <c r="AS169"/>
  <c r="AN169"/>
  <c r="Y169"/>
  <c r="Q169"/>
  <c r="AS168"/>
  <c r="Y168"/>
  <c r="Q168"/>
  <c r="AS167"/>
  <c r="Y167"/>
  <c r="Q167"/>
  <c r="AS166"/>
  <c r="Y166"/>
  <c r="Q166"/>
  <c r="AS165"/>
  <c r="Y165"/>
  <c r="Q165"/>
  <c r="AS164"/>
  <c r="Y164"/>
  <c r="Q164"/>
  <c r="AS163"/>
  <c r="Y163"/>
  <c r="Q163"/>
  <c r="AS162"/>
  <c r="Y162"/>
  <c r="Q162"/>
  <c r="Y161"/>
  <c r="AN161" s="1"/>
  <c r="AS161" s="1"/>
  <c r="Q161"/>
  <c r="AS160"/>
  <c r="Y160"/>
  <c r="Q160"/>
  <c r="AS159"/>
  <c r="AN159"/>
  <c r="AN199" s="1"/>
  <c r="Y159"/>
  <c r="Q159"/>
  <c r="AS158"/>
  <c r="Y158"/>
  <c r="Q158"/>
  <c r="AS157"/>
  <c r="Y157"/>
  <c r="Q157"/>
  <c r="AS156"/>
  <c r="Y156"/>
  <c r="Q156"/>
  <c r="AS155"/>
  <c r="Y155"/>
  <c r="AS154"/>
  <c r="Y154"/>
  <c r="Q154"/>
  <c r="AS153"/>
  <c r="Y153"/>
  <c r="Q153"/>
  <c r="AS152"/>
  <c r="Y152"/>
  <c r="Q152"/>
  <c r="AS151"/>
  <c r="Y151"/>
  <c r="Y199" s="1"/>
  <c r="Q151"/>
  <c r="Q199" s="1"/>
  <c r="AR150"/>
  <c r="AQ150"/>
  <c r="AP150"/>
  <c r="AO150"/>
  <c r="AN150"/>
  <c r="AM150"/>
  <c r="AL150"/>
  <c r="AK150"/>
  <c r="AJ150"/>
  <c r="AI150"/>
  <c r="AH150"/>
  <c r="AG150"/>
  <c r="AF150"/>
  <c r="AE150"/>
  <c r="AB150"/>
  <c r="AA150"/>
  <c r="Z150"/>
  <c r="X150"/>
  <c r="W150"/>
  <c r="V150"/>
  <c r="U150"/>
  <c r="T150"/>
  <c r="S150"/>
  <c r="R150"/>
  <c r="P150"/>
  <c r="O150"/>
  <c r="N150"/>
  <c r="M150"/>
  <c r="L150"/>
  <c r="K150"/>
  <c r="J150"/>
  <c r="AS149"/>
  <c r="Y149"/>
  <c r="Q149"/>
  <c r="AS148"/>
  <c r="Y148"/>
  <c r="Q148"/>
  <c r="AS147"/>
  <c r="Y147"/>
  <c r="Q147"/>
  <c r="AS146"/>
  <c r="Y146"/>
  <c r="Q146"/>
  <c r="AS145"/>
  <c r="Y145"/>
  <c r="Q145"/>
  <c r="AS144"/>
  <c r="Y144"/>
  <c r="Q144"/>
  <c r="AS143"/>
  <c r="Y143"/>
  <c r="Q143"/>
  <c r="AS142"/>
  <c r="Y142"/>
  <c r="Q142"/>
  <c r="AS141"/>
  <c r="Y141"/>
  <c r="Q141"/>
  <c r="AS140"/>
  <c r="Y140"/>
  <c r="Q140"/>
  <c r="AS139"/>
  <c r="Y139"/>
  <c r="Q139"/>
  <c r="AS138"/>
  <c r="Y138"/>
  <c r="Q138"/>
  <c r="AS137"/>
  <c r="Y137"/>
  <c r="Q137"/>
  <c r="AS136"/>
  <c r="Y136"/>
  <c r="Q136"/>
  <c r="AS135"/>
  <c r="Y135"/>
  <c r="Q135"/>
  <c r="AS134"/>
  <c r="AS133"/>
  <c r="AS132"/>
  <c r="Y132"/>
  <c r="Q132"/>
  <c r="AS131"/>
  <c r="AS150" s="1"/>
  <c r="Y131"/>
  <c r="Y150" s="1"/>
  <c r="Q131"/>
  <c r="Q150" s="1"/>
  <c r="AR130"/>
  <c r="AQ130"/>
  <c r="AP130"/>
  <c r="AO130"/>
  <c r="AN130"/>
  <c r="AM130"/>
  <c r="AL130"/>
  <c r="AK130"/>
  <c r="AJ130"/>
  <c r="AI130"/>
  <c r="AH130"/>
  <c r="AG130"/>
  <c r="AF130"/>
  <c r="AE130"/>
  <c r="AB130"/>
  <c r="AA130"/>
  <c r="Z130"/>
  <c r="X130"/>
  <c r="W130"/>
  <c r="V130"/>
  <c r="U130"/>
  <c r="S130"/>
  <c r="R130"/>
  <c r="O130"/>
  <c r="N130"/>
  <c r="M130"/>
  <c r="L130"/>
  <c r="K130"/>
  <c r="J130"/>
  <c r="AS129"/>
  <c r="Y129"/>
  <c r="AS128"/>
  <c r="Y128"/>
  <c r="T128"/>
  <c r="T130" s="1"/>
  <c r="R128"/>
  <c r="AS127"/>
  <c r="Y127"/>
  <c r="Q127"/>
  <c r="Q130" s="1"/>
  <c r="P127"/>
  <c r="P130" s="1"/>
  <c r="AS126"/>
  <c r="Y126"/>
  <c r="AS125"/>
  <c r="Y125"/>
  <c r="AS124"/>
  <c r="Y124"/>
  <c r="AS123"/>
  <c r="Y123"/>
  <c r="AS122"/>
  <c r="Y122"/>
  <c r="AS121"/>
  <c r="Y121"/>
  <c r="AS120"/>
  <c r="Y120"/>
  <c r="R120"/>
  <c r="Q120"/>
  <c r="AS119"/>
  <c r="Y119"/>
  <c r="AS118"/>
  <c r="Y118"/>
  <c r="AS117"/>
  <c r="Y117"/>
  <c r="AS116"/>
  <c r="AS130" s="1"/>
  <c r="Y116"/>
  <c r="Y130" s="1"/>
  <c r="AS115"/>
  <c r="K115"/>
  <c r="J115"/>
  <c r="AR112"/>
  <c r="AQ112"/>
  <c r="AP112"/>
  <c r="AO112"/>
  <c r="AN112"/>
  <c r="AM112"/>
  <c r="AL112"/>
  <c r="AK112"/>
  <c r="AJ112"/>
  <c r="AI112"/>
  <c r="AH112"/>
  <c r="AG112"/>
  <c r="AF112"/>
  <c r="AE112"/>
  <c r="AB112"/>
  <c r="AA112"/>
  <c r="Z112"/>
  <c r="X112"/>
  <c r="W112"/>
  <c r="V112"/>
  <c r="U112"/>
  <c r="T112"/>
  <c r="S112"/>
  <c r="R112"/>
  <c r="P112"/>
  <c r="O112"/>
  <c r="N112"/>
  <c r="M112"/>
  <c r="L112"/>
  <c r="K112"/>
  <c r="J112"/>
  <c r="AS111"/>
  <c r="Y111"/>
  <c r="Q111"/>
  <c r="AS110"/>
  <c r="Y110"/>
  <c r="Q110"/>
  <c r="AS109"/>
  <c r="AS108"/>
  <c r="Y108"/>
  <c r="Y112" s="1"/>
  <c r="Q108"/>
  <c r="AS107"/>
  <c r="Y107"/>
  <c r="Q107"/>
  <c r="Q112" s="1"/>
  <c r="AS106"/>
  <c r="AS112" s="1"/>
  <c r="Y106"/>
  <c r="Q106"/>
  <c r="AS105"/>
  <c r="AR105"/>
  <c r="AQ105"/>
  <c r="AP105"/>
  <c r="AO105"/>
  <c r="AN105"/>
  <c r="AM105"/>
  <c r="AL105"/>
  <c r="AK105"/>
  <c r="AJ105"/>
  <c r="AI105"/>
  <c r="AH105"/>
  <c r="AG105"/>
  <c r="Y105"/>
  <c r="X105"/>
  <c r="W105"/>
  <c r="V105"/>
  <c r="U105"/>
  <c r="T105"/>
  <c r="S105"/>
  <c r="R105"/>
  <c r="Q105"/>
  <c r="P105"/>
  <c r="O105"/>
  <c r="K105"/>
  <c r="J105"/>
  <c r="AR103"/>
  <c r="AQ103"/>
  <c r="AP103"/>
  <c r="AO103"/>
  <c r="AN103"/>
  <c r="AM103"/>
  <c r="AL103"/>
  <c r="AK103"/>
  <c r="AJ103"/>
  <c r="AI103"/>
  <c r="AH103"/>
  <c r="AG103"/>
  <c r="AF103"/>
  <c r="AE103"/>
  <c r="AB103"/>
  <c r="AA103"/>
  <c r="Z103"/>
  <c r="X103"/>
  <c r="W103"/>
  <c r="V103"/>
  <c r="U103"/>
  <c r="T103"/>
  <c r="S103"/>
  <c r="P103"/>
  <c r="O103"/>
  <c r="N103"/>
  <c r="M103"/>
  <c r="L103"/>
  <c r="K103"/>
  <c r="J103"/>
  <c r="AS102"/>
  <c r="AS101"/>
  <c r="AS100"/>
  <c r="Y100"/>
  <c r="AS99"/>
  <c r="Y99"/>
  <c r="AS98"/>
  <c r="R98"/>
  <c r="Y98" s="1"/>
  <c r="AS97"/>
  <c r="Q97"/>
  <c r="Q103" s="1"/>
  <c r="AS96"/>
  <c r="AS103" s="1"/>
  <c r="Y96"/>
  <c r="AS95"/>
  <c r="Y95"/>
  <c r="AR94"/>
  <c r="AQ94"/>
  <c r="AP94"/>
  <c r="AO94"/>
  <c r="AN94"/>
  <c r="AM94"/>
  <c r="AL94"/>
  <c r="AK94"/>
  <c r="AJ94"/>
  <c r="AI94"/>
  <c r="AH94"/>
  <c r="AG94"/>
  <c r="AF94"/>
  <c r="AE94"/>
  <c r="AB94"/>
  <c r="AA94"/>
  <c r="Z94"/>
  <c r="X94"/>
  <c r="W94"/>
  <c r="V94"/>
  <c r="U94"/>
  <c r="T94"/>
  <c r="S94"/>
  <c r="P94"/>
  <c r="O94"/>
  <c r="N94"/>
  <c r="M94"/>
  <c r="L94"/>
  <c r="K94"/>
  <c r="J94"/>
  <c r="AS90"/>
  <c r="Y90"/>
  <c r="AS89"/>
  <c r="Y89"/>
  <c r="AS88"/>
  <c r="Y88"/>
  <c r="AS87"/>
  <c r="Q87"/>
  <c r="R87" s="1"/>
  <c r="Y87" s="1"/>
  <c r="AS86"/>
  <c r="Y86"/>
  <c r="Q86"/>
  <c r="AS85"/>
  <c r="Y85"/>
  <c r="AS84"/>
  <c r="Y84"/>
  <c r="Q84"/>
  <c r="AS83"/>
  <c r="Q83"/>
  <c r="R83" s="1"/>
  <c r="Y83" s="1"/>
  <c r="AS82"/>
  <c r="Y82"/>
  <c r="R82"/>
  <c r="AS81"/>
  <c r="Y81"/>
  <c r="R81"/>
  <c r="AS80"/>
  <c r="Y80"/>
  <c r="R80"/>
  <c r="AS79"/>
  <c r="R79"/>
  <c r="Y79" s="1"/>
  <c r="AS78"/>
  <c r="Y78"/>
  <c r="R78"/>
  <c r="AS77"/>
  <c r="AS94" s="1"/>
  <c r="Y77"/>
  <c r="Y94" s="1"/>
  <c r="R77"/>
  <c r="Q77"/>
  <c r="Q94" s="1"/>
  <c r="AS76"/>
  <c r="AR76"/>
  <c r="AQ76"/>
  <c r="AP76"/>
  <c r="AO76"/>
  <c r="AN76"/>
  <c r="AM76"/>
  <c r="AL76"/>
  <c r="AK76"/>
  <c r="AJ76"/>
  <c r="AI76"/>
  <c r="AH76"/>
  <c r="AG76"/>
  <c r="AF76"/>
  <c r="AE76"/>
  <c r="AB76"/>
  <c r="AA76"/>
  <c r="Z76"/>
  <c r="X76"/>
  <c r="W76"/>
  <c r="V76"/>
  <c r="U76"/>
  <c r="T76"/>
  <c r="S76"/>
  <c r="R76"/>
  <c r="P76"/>
  <c r="O76"/>
  <c r="K76"/>
  <c r="J76"/>
  <c r="AS75"/>
  <c r="Y75"/>
  <c r="AS74"/>
  <c r="Y74"/>
  <c r="AS73"/>
  <c r="Y73"/>
  <c r="AS72"/>
  <c r="Y72"/>
  <c r="AS71"/>
  <c r="Y71"/>
  <c r="Y76" s="1"/>
  <c r="Q71"/>
  <c r="Q76" s="1"/>
  <c r="AR70"/>
  <c r="AQ70"/>
  <c r="AP70"/>
  <c r="AO70"/>
  <c r="AN70"/>
  <c r="AM70"/>
  <c r="AL70"/>
  <c r="AK70"/>
  <c r="AJ70"/>
  <c r="AI70"/>
  <c r="AH70"/>
  <c r="AG70"/>
  <c r="AF70"/>
  <c r="AE70"/>
  <c r="AB70"/>
  <c r="AA70"/>
  <c r="Z70"/>
  <c r="Y70"/>
  <c r="X70"/>
  <c r="W70"/>
  <c r="V70"/>
  <c r="U70"/>
  <c r="T70"/>
  <c r="S70"/>
  <c r="R70"/>
  <c r="Q70"/>
  <c r="P70"/>
  <c r="O70"/>
  <c r="N70"/>
  <c r="M70"/>
  <c r="L70"/>
  <c r="K70"/>
  <c r="J70"/>
  <c r="AS69"/>
  <c r="AS70" s="1"/>
  <c r="Y69"/>
  <c r="Q69"/>
  <c r="AR68"/>
  <c r="AQ68"/>
  <c r="AP68"/>
  <c r="AO68"/>
  <c r="AN68"/>
  <c r="AM68"/>
  <c r="AL68"/>
  <c r="AK68"/>
  <c r="AJ68"/>
  <c r="AI68"/>
  <c r="AH68"/>
  <c r="AG68"/>
  <c r="AF68"/>
  <c r="AE68"/>
  <c r="AB68"/>
  <c r="AA68"/>
  <c r="Z68"/>
  <c r="X68"/>
  <c r="W68"/>
  <c r="V68"/>
  <c r="U68"/>
  <c r="T68"/>
  <c r="S68"/>
  <c r="R68"/>
  <c r="P68"/>
  <c r="O68"/>
  <c r="N68"/>
  <c r="M68"/>
  <c r="L68"/>
  <c r="K68"/>
  <c r="J68"/>
  <c r="AS67"/>
  <c r="Y67"/>
  <c r="Q67"/>
  <c r="Y66"/>
  <c r="R66"/>
  <c r="Q66"/>
  <c r="AS65"/>
  <c r="Y65"/>
  <c r="Q65"/>
  <c r="AS64"/>
  <c r="Y64"/>
  <c r="Q64"/>
  <c r="AS63"/>
  <c r="Y63"/>
  <c r="Q63"/>
  <c r="AS62"/>
  <c r="Y62"/>
  <c r="Q62"/>
  <c r="AS61"/>
  <c r="Y61"/>
  <c r="Q61"/>
  <c r="AS60"/>
  <c r="Y60"/>
  <c r="Q60"/>
  <c r="AS59"/>
  <c r="Y59"/>
  <c r="Q59"/>
  <c r="AS58"/>
  <c r="Y58"/>
  <c r="Q58"/>
  <c r="AS57"/>
  <c r="Y57"/>
  <c r="AS56"/>
  <c r="Y56"/>
  <c r="Q56"/>
  <c r="AS55"/>
  <c r="Y55"/>
  <c r="Q55"/>
  <c r="AS54"/>
  <c r="Y54"/>
  <c r="Q54"/>
  <c r="AS53"/>
  <c r="Y53"/>
  <c r="Q53"/>
  <c r="Q68" s="1"/>
  <c r="AS52"/>
  <c r="Y52"/>
  <c r="Q52"/>
  <c r="AS51"/>
  <c r="AS68" s="1"/>
  <c r="Y51"/>
  <c r="Y68" s="1"/>
  <c r="Q51"/>
  <c r="AR50"/>
  <c r="AQ50"/>
  <c r="AP50"/>
  <c r="AO50"/>
  <c r="AN50"/>
  <c r="AM50"/>
  <c r="AL50"/>
  <c r="AK50"/>
  <c r="AJ50"/>
  <c r="AI50"/>
  <c r="AH50"/>
  <c r="AG50"/>
  <c r="X50"/>
  <c r="W50"/>
  <c r="V50"/>
  <c r="U50"/>
  <c r="T50"/>
  <c r="S50"/>
  <c r="R50"/>
  <c r="P50"/>
  <c r="O50"/>
  <c r="N50"/>
  <c r="M50"/>
  <c r="L50"/>
  <c r="K50"/>
  <c r="J50"/>
  <c r="AS49"/>
  <c r="Y49"/>
  <c r="Q49"/>
  <c r="AS48"/>
  <c r="Y48"/>
  <c r="Y50" s="1"/>
  <c r="Q48"/>
  <c r="AS47"/>
  <c r="Y47"/>
  <c r="Q47"/>
  <c r="Q50" s="1"/>
  <c r="AS46"/>
  <c r="AS50" s="1"/>
  <c r="Y46"/>
  <c r="Q46"/>
  <c r="AS45"/>
  <c r="AR45"/>
  <c r="AQ45"/>
  <c r="AP45"/>
  <c r="AO45"/>
  <c r="AN45"/>
  <c r="AM45"/>
  <c r="AL45"/>
  <c r="AK45"/>
  <c r="AJ45"/>
  <c r="AI45"/>
  <c r="AH45"/>
  <c r="AG45"/>
  <c r="AF45"/>
  <c r="AE45"/>
  <c r="AB45"/>
  <c r="AA45"/>
  <c r="Z45"/>
  <c r="Y45"/>
  <c r="X45"/>
  <c r="W45"/>
  <c r="V45"/>
  <c r="U45"/>
  <c r="T45"/>
  <c r="S45"/>
  <c r="R45"/>
  <c r="P45"/>
  <c r="O45"/>
  <c r="N45"/>
  <c r="M45"/>
  <c r="L45"/>
  <c r="K45"/>
  <c r="J45"/>
  <c r="AS44"/>
  <c r="Y44"/>
  <c r="Q44"/>
  <c r="Q45" s="1"/>
  <c r="AR43"/>
  <c r="AQ43"/>
  <c r="AP43"/>
  <c r="AO43"/>
  <c r="AN43"/>
  <c r="AM43"/>
  <c r="AL43"/>
  <c r="AK43"/>
  <c r="AJ43"/>
  <c r="AI43"/>
  <c r="AH43"/>
  <c r="AG43"/>
  <c r="AF43"/>
  <c r="AE43"/>
  <c r="AB43"/>
  <c r="AA43"/>
  <c r="Z43"/>
  <c r="Y43"/>
  <c r="X43"/>
  <c r="W43"/>
  <c r="V43"/>
  <c r="U43"/>
  <c r="T43"/>
  <c r="S43"/>
  <c r="R43"/>
  <c r="Q43"/>
  <c r="P43"/>
  <c r="O43"/>
  <c r="N43"/>
  <c r="M43"/>
  <c r="L43"/>
  <c r="K43"/>
  <c r="J43"/>
  <c r="AS42"/>
  <c r="AS41"/>
  <c r="AT40"/>
  <c r="AS40"/>
  <c r="AS39"/>
  <c r="AS38"/>
  <c r="AS37"/>
  <c r="AS43" s="1"/>
  <c r="AR36"/>
  <c r="AQ36"/>
  <c r="AP36"/>
  <c r="AO36"/>
  <c r="AN36"/>
  <c r="AM36"/>
  <c r="AL36"/>
  <c r="AK36"/>
  <c r="AJ36"/>
  <c r="AI36"/>
  <c r="AH36"/>
  <c r="AG36"/>
  <c r="AF36"/>
  <c r="AE36"/>
  <c r="AB36"/>
  <c r="AA36"/>
  <c r="Z36"/>
  <c r="Y36"/>
  <c r="X36"/>
  <c r="W36"/>
  <c r="V36"/>
  <c r="U36"/>
  <c r="T36"/>
  <c r="S36"/>
  <c r="R36"/>
  <c r="Q36"/>
  <c r="P36"/>
  <c r="O36"/>
  <c r="N36"/>
  <c r="M36"/>
  <c r="L36"/>
  <c r="K36"/>
  <c r="J36"/>
  <c r="AS35"/>
  <c r="Y35"/>
  <c r="AS34"/>
  <c r="Y34"/>
  <c r="AS33"/>
  <c r="AS36" s="1"/>
  <c r="Y33"/>
  <c r="AR32"/>
  <c r="AQ32"/>
  <c r="AP32"/>
  <c r="AO32"/>
  <c r="AN32"/>
  <c r="AM32"/>
  <c r="AL32"/>
  <c r="AK32"/>
  <c r="AJ32"/>
  <c r="AI32"/>
  <c r="AH32"/>
  <c r="AG32"/>
  <c r="X32"/>
  <c r="W32"/>
  <c r="V32"/>
  <c r="U32"/>
  <c r="T32"/>
  <c r="S32"/>
  <c r="R32"/>
  <c r="P32"/>
  <c r="O32"/>
  <c r="K32"/>
  <c r="J32"/>
  <c r="AS31"/>
  <c r="Y31"/>
  <c r="AS30"/>
  <c r="Y30"/>
  <c r="AS29"/>
  <c r="AS32" s="1"/>
  <c r="Y29"/>
  <c r="Y32" s="1"/>
  <c r="Q29"/>
  <c r="Q32" s="1"/>
  <c r="AR28"/>
  <c r="AQ28"/>
  <c r="AP28"/>
  <c r="AO28"/>
  <c r="AN28"/>
  <c r="AM28"/>
  <c r="AL28"/>
  <c r="AK28"/>
  <c r="AJ28"/>
  <c r="AI28"/>
  <c r="AH28"/>
  <c r="AG28"/>
  <c r="AF28"/>
  <c r="AE28"/>
  <c r="AB28"/>
  <c r="AA28"/>
  <c r="Z28"/>
  <c r="X28"/>
  <c r="W28"/>
  <c r="V28"/>
  <c r="U28"/>
  <c r="T28"/>
  <c r="S28"/>
  <c r="R28"/>
  <c r="O28"/>
  <c r="K28"/>
  <c r="AS25"/>
  <c r="Y25"/>
  <c r="Q25"/>
  <c r="AS24"/>
  <c r="Y24"/>
  <c r="Q24"/>
  <c r="AS23"/>
  <c r="Y23"/>
  <c r="R23"/>
  <c r="P23"/>
  <c r="P28" s="1"/>
  <c r="J23"/>
  <c r="J28" s="1"/>
  <c r="AS22"/>
  <c r="Y22"/>
  <c r="Q22"/>
  <c r="AS21"/>
  <c r="Y21"/>
  <c r="Q21"/>
  <c r="AS20"/>
  <c r="AS28" s="1"/>
  <c r="Y20"/>
  <c r="Y28" s="1"/>
  <c r="Q20"/>
  <c r="AS19"/>
  <c r="AR19"/>
  <c r="AQ19"/>
  <c r="AP19"/>
  <c r="AO19"/>
  <c r="AN19"/>
  <c r="AM19"/>
  <c r="AL19"/>
  <c r="AK19"/>
  <c r="AJ19"/>
  <c r="AI19"/>
  <c r="AH19"/>
  <c r="AG19"/>
  <c r="AF19"/>
  <c r="AE19"/>
  <c r="AD19"/>
  <c r="AC19"/>
  <c r="AB19"/>
  <c r="AA19"/>
  <c r="Z19"/>
  <c r="X19"/>
  <c r="W19"/>
  <c r="V19"/>
  <c r="U19"/>
  <c r="T19"/>
  <c r="S19"/>
  <c r="R19"/>
  <c r="Q19"/>
  <c r="P19"/>
  <c r="O19"/>
  <c r="K19"/>
  <c r="J19"/>
  <c r="Y18"/>
  <c r="Y19" s="1"/>
  <c r="AR17"/>
  <c r="AR217" s="1"/>
  <c r="AQ17"/>
  <c r="AP17"/>
  <c r="AP217" s="1"/>
  <c r="AO17"/>
  <c r="AO217" s="1"/>
  <c r="AN17"/>
  <c r="AM17"/>
  <c r="AM217" s="1"/>
  <c r="AL17"/>
  <c r="AL217" s="1"/>
  <c r="AK17"/>
  <c r="AK217" s="1"/>
  <c r="AJ17"/>
  <c r="AJ217" s="1"/>
  <c r="AI17"/>
  <c r="AI217" s="1"/>
  <c r="AH17"/>
  <c r="AH217" s="1"/>
  <c r="AG17"/>
  <c r="AG217" s="1"/>
  <c r="AF17"/>
  <c r="AF217" s="1"/>
  <c r="AE17"/>
  <c r="AE217" s="1"/>
  <c r="AB17"/>
  <c r="AB217" s="1"/>
  <c r="Z17"/>
  <c r="Z217" s="1"/>
  <c r="X17"/>
  <c r="X217" s="1"/>
  <c r="W17"/>
  <c r="W217" s="1"/>
  <c r="V17"/>
  <c r="V217" s="1"/>
  <c r="U17"/>
  <c r="U217" s="1"/>
  <c r="T17"/>
  <c r="T217" s="1"/>
  <c r="S17"/>
  <c r="K17"/>
  <c r="K217" s="1"/>
  <c r="AS13"/>
  <c r="AS12"/>
  <c r="AS11"/>
  <c r="Y11"/>
  <c r="R11"/>
  <c r="Q11"/>
  <c r="O11"/>
  <c r="D11"/>
  <c r="C11"/>
  <c r="A11"/>
  <c r="AA11" s="1"/>
  <c r="AS10"/>
  <c r="AA10"/>
  <c r="O10"/>
  <c r="Q10" s="1"/>
  <c r="R10" s="1"/>
  <c r="Y10" s="1"/>
  <c r="D10"/>
  <c r="C10"/>
  <c r="A10"/>
  <c r="AS9"/>
  <c r="AA9"/>
  <c r="Q9"/>
  <c r="R9" s="1"/>
  <c r="Y9" s="1"/>
  <c r="O9"/>
  <c r="O17" s="1"/>
  <c r="O217" s="1"/>
  <c r="D9"/>
  <c r="A9"/>
  <c r="AA8"/>
  <c r="Y8"/>
  <c r="Q8"/>
  <c r="O8"/>
  <c r="D8"/>
  <c r="C8"/>
  <c r="A8"/>
  <c r="AS7"/>
  <c r="P7"/>
  <c r="P17" s="1"/>
  <c r="J7"/>
  <c r="D7"/>
  <c r="C7"/>
  <c r="A7"/>
  <c r="AA7" s="1"/>
  <c r="AS6"/>
  <c r="AS17" s="1"/>
  <c r="R6"/>
  <c r="Q6"/>
  <c r="J6"/>
  <c r="J17" s="1"/>
  <c r="D6"/>
  <c r="C6"/>
  <c r="A6"/>
  <c r="AA6" s="1"/>
  <c r="AA17" s="1"/>
  <c r="AA217" s="1"/>
  <c r="AN217" l="1"/>
  <c r="J217"/>
  <c r="S217"/>
  <c r="AQ217"/>
  <c r="AS199"/>
  <c r="AS217" s="1"/>
  <c r="Q209"/>
  <c r="Q212" s="1"/>
  <c r="P212"/>
  <c r="P217" s="1"/>
  <c r="R94"/>
  <c r="Y6"/>
  <c r="Q7"/>
  <c r="R7" s="1"/>
  <c r="Y7" s="1"/>
  <c r="Q23"/>
  <c r="Q28" s="1"/>
  <c r="R97"/>
  <c r="Y201"/>
  <c r="Y212" s="1"/>
  <c r="R212"/>
  <c r="AS200"/>
  <c r="AS212" s="1"/>
  <c r="Y205"/>
  <c r="Y97" l="1"/>
  <c r="Y103" s="1"/>
  <c r="R103"/>
  <c r="R17"/>
  <c r="Y17"/>
  <c r="Y217" s="1"/>
  <c r="Q17"/>
  <c r="Q217" s="1"/>
  <c r="R217" l="1"/>
</calcChain>
</file>

<file path=xl/comments1.xml><?xml version="1.0" encoding="utf-8"?>
<comments xmlns="http://schemas.openxmlformats.org/spreadsheetml/2006/main">
  <authors>
    <author>SONY</author>
  </authors>
  <commentList>
    <comment ref="E61" authorId="0">
      <text>
        <r>
          <rPr>
            <b/>
            <sz val="9"/>
            <color indexed="81"/>
            <rFont val="Tahoma"/>
            <family val="2"/>
          </rPr>
          <t>SONY:</t>
        </r>
        <r>
          <rPr>
            <sz val="9"/>
            <color indexed="81"/>
            <rFont val="Tahoma"/>
            <family val="2"/>
          </rPr>
          <t xml:space="preserve">
Cascarilla, San Sebastian funcionan 2013. Se plantea 2014 Soldado, P. Madre, Lineas donde cruzan florecen</t>
        </r>
      </text>
    </comment>
  </commentList>
</comments>
</file>

<file path=xl/sharedStrings.xml><?xml version="1.0" encoding="utf-8"?>
<sst xmlns="http://schemas.openxmlformats.org/spreadsheetml/2006/main" count="2612" uniqueCount="1373">
  <si>
    <t>GOBIERNO AUTÓNOMO DESCENTRALIZADO MUNICIPAL DE LOJA</t>
  </si>
  <si>
    <t>PLAN OPERATIVO ANUAL 2015</t>
  </si>
  <si>
    <t>b) INFORMACIÓN GENERAL SOBRE LOS PROYECTOS DEL PLAN OPERATIVO MUNICIPAL 2014</t>
  </si>
  <si>
    <t>b.1) IDENTIFICACIÓN</t>
  </si>
  <si>
    <t>b.2)</t>
  </si>
  <si>
    <t>b.3) OBJETIVOS</t>
  </si>
  <si>
    <t>META</t>
  </si>
  <si>
    <t>INDICADORES</t>
  </si>
  <si>
    <t>b.4) UBICACIÓN de LA INVERSION</t>
  </si>
  <si>
    <t>b.5) IMPACTOS DEL PROYECTO (Población beneficiaria)</t>
  </si>
  <si>
    <t>b.6) ESTADO DEL PROYECTO A= arrastre/ N= nuevo</t>
  </si>
  <si>
    <t>b.7) COSTO</t>
  </si>
  <si>
    <t>MONTO TOTAL</t>
  </si>
  <si>
    <t>b.8) FUENTES DE FINANCIAMIENTO</t>
  </si>
  <si>
    <t>TOTAL</t>
  </si>
  <si>
    <t>b.9) UNIDAD EJECUTORA</t>
  </si>
  <si>
    <t>b.10) DURACIÓN</t>
  </si>
  <si>
    <t>b.11) MODALIDAD EJECUCION</t>
  </si>
  <si>
    <t>b.12) ASPECTOS GENERALES</t>
  </si>
  <si>
    <t>PROGRAMACIÓN DE LA  EJECUCIÓN 2014</t>
  </si>
  <si>
    <t>UNIDAD EJECUTORA</t>
  </si>
  <si>
    <t>Número</t>
  </si>
  <si>
    <t>Nombre del proyecto</t>
  </si>
  <si>
    <t>Localización del proyecto por Parroquia (Ubicar Nombre de Parroquia o asentamiento Humano en donde se realizara el proyecto)</t>
  </si>
  <si>
    <t>Línea Base</t>
  </si>
  <si>
    <t>Objetivo General</t>
  </si>
  <si>
    <t>Objetivos Específicos</t>
  </si>
  <si>
    <t>Meta</t>
  </si>
  <si>
    <t>Indicador ( Debe ser medible en calidad, cantidad y tiempo)</t>
  </si>
  <si>
    <t>Área Urbana</t>
  </si>
  <si>
    <t>Area Rural</t>
  </si>
  <si>
    <t>Estudios (USD)</t>
  </si>
  <si>
    <t>Ejecución (USD)</t>
  </si>
  <si>
    <t>PROYECTO</t>
  </si>
  <si>
    <t>Recursos Municipales (USD)</t>
  </si>
  <si>
    <t>Gobierno Provincial</t>
  </si>
  <si>
    <t>Gobierno Parroquial</t>
  </si>
  <si>
    <t>Gobierno central</t>
  </si>
  <si>
    <t>Aporte de los Beneficiarios (USD)/ ERRSA</t>
  </si>
  <si>
    <t>Cooperación / CNT</t>
  </si>
  <si>
    <t>CREDITO ( BEDE/ CAF)</t>
  </si>
  <si>
    <t>INVERSIÓN</t>
  </si>
  <si>
    <t>Dirección / responsable</t>
  </si>
  <si>
    <t>Unidad responsable</t>
  </si>
  <si>
    <t>Técnico responsable</t>
  </si>
  <si>
    <t>Inicio (dd/mm/aaaa)</t>
  </si>
  <si>
    <t>Término (dd/mm/aaaa)</t>
  </si>
  <si>
    <t>D= Directa
C= Contratación Pública</t>
  </si>
  <si>
    <t>Observaciones</t>
  </si>
  <si>
    <t>ENE</t>
  </si>
  <si>
    <t>FEB</t>
  </si>
  <si>
    <t>MAR</t>
  </si>
  <si>
    <t>ABR</t>
  </si>
  <si>
    <t>MAY</t>
  </si>
  <si>
    <t>JUN</t>
  </si>
  <si>
    <t>JUL</t>
  </si>
  <si>
    <t>AGO</t>
  </si>
  <si>
    <t>SEP</t>
  </si>
  <si>
    <t>OCT</t>
  </si>
  <si>
    <t>NOV</t>
  </si>
  <si>
    <t>DIC</t>
  </si>
  <si>
    <t>TOTAL PROGRAMACION</t>
  </si>
  <si>
    <t>Edificio Patrimonial en malas condiciones</t>
  </si>
  <si>
    <t>Preservar el patrimonio edificado del cantón</t>
  </si>
  <si>
    <t>Mejoramiento de la infraestructura del mercado San Sebastián e implementación del Paseo de Artesanias.</t>
  </si>
  <si>
    <t>Mejorar la imagen urbana de las areas patrimoniales de la ciudad de Loja.</t>
  </si>
  <si>
    <t>Un edificio patrimonial restaurado en tres meses</t>
  </si>
  <si>
    <t>3000 habitantes beneficiados</t>
  </si>
  <si>
    <t>N</t>
  </si>
  <si>
    <t>PROSPECTIVA ESTRATEGICA Y PROYECTOS</t>
  </si>
  <si>
    <t>Arq. Galina Segarra Morales</t>
  </si>
  <si>
    <t>31-06-2015</t>
  </si>
  <si>
    <t>Contratación Pública</t>
  </si>
  <si>
    <t>Restauración del edificio patrimonial de la Casa Hacenda de Punzara.</t>
  </si>
  <si>
    <t>Recuperar el edificio patrimonial y mejorar la imagen urbana de las áreas patrimoniales de Loja</t>
  </si>
  <si>
    <t>Un edificio patrimonial restaurado en seis meses</t>
  </si>
  <si>
    <t>Barrios y ciudadelas del Sur de la Ciudad de Loja</t>
  </si>
  <si>
    <t>Plan de Ordenamineto Especial para el Centro Histórico de Loja</t>
  </si>
  <si>
    <t>Contar con el plan de manejo del Centro Histórico de la Ciudad de Loja</t>
  </si>
  <si>
    <t>Mejorar condiciones de vida de la población mediante la dotación de infraestructura y equipamientos programados</t>
  </si>
  <si>
    <t>Implementar el Plan de Ordenamiento Especial para el Centro Histórico de la Ciudad de Loja</t>
  </si>
  <si>
    <t>Plan de Ordenamiento Especial del Centro Histórico de la Ciudad de Loja.</t>
  </si>
  <si>
    <t>Habitantes del Centro Historico</t>
  </si>
  <si>
    <t>Actualización del Plan Regulador de la Parroquia Malacatos</t>
  </si>
  <si>
    <t>Planes reguladores parroquiales en vigencia</t>
  </si>
  <si>
    <t>Establecer una estructura espacial planificada aplicada al uso y ocupacion del suelo de la parroquia de Malacatos</t>
  </si>
  <si>
    <t xml:space="preserve">Dotar al GADML de un instrumento normativo legal actualizado que permita ordenar el uso y ocupacion del suelo. </t>
  </si>
  <si>
    <t>Actualizacion del Plan Regulador de la Parroquia Malacatos</t>
  </si>
  <si>
    <t>Plan Regulador de la Parroquia de Malacatos</t>
  </si>
  <si>
    <t xml:space="preserve">Habitantes de la Parroquia Malacatos </t>
  </si>
  <si>
    <t>Establecer una estructura espacial planificada aplicada al uso y ocupacion del suelo de la parroquia de Vilcabamba</t>
  </si>
  <si>
    <t>Actualizacion del Plan Regulador de la Parroquia Vilcabamba</t>
  </si>
  <si>
    <t>Plan Regulador de la Parroquia de Vilcabamba</t>
  </si>
  <si>
    <t>Habitantes de la Parroquia</t>
  </si>
  <si>
    <t>Establecer una estructura espacial planificada aplicada al uso y ocupacion del suelo de la parroquia de El Cisne</t>
  </si>
  <si>
    <t>Actualizacion del Plan Regulador de la Parroquia El Cisne</t>
  </si>
  <si>
    <t>Plan Regulador de la Parroquia de El Cisne</t>
  </si>
  <si>
    <t>PATRIMONIO CULTURAL Y CENTRO HISTÓRICO</t>
  </si>
  <si>
    <t>Restauración de la fachada de la iglesia Rumishitana, parroquia Malacatos</t>
  </si>
  <si>
    <t>Parroquia Malacatos</t>
  </si>
  <si>
    <t>Mejoramiento de la fachada de la capilla del barrio Tres Leguas de la parroquia Malacatos</t>
  </si>
  <si>
    <t>Mejoramiento de la glorieta y centro del Parque Parroquial</t>
  </si>
  <si>
    <t>Parroquia jimbilla</t>
  </si>
  <si>
    <t>Infraestructura y edificaciones existentes</t>
  </si>
  <si>
    <t>Mejorar la imagen urbana de las Parroquias del canton Loja.</t>
  </si>
  <si>
    <t>Merorar el espacio publico del centro poblado de Jimbilla</t>
  </si>
  <si>
    <t>Contar con espacios publicos apropiados para generacion de turismo.</t>
  </si>
  <si>
    <t>Espacio publico de glorieta y parque intervenido</t>
  </si>
  <si>
    <t>Habitantes de la parroquia</t>
  </si>
  <si>
    <t>Remodelacion del Parque Central de la Parroquia Quinara, segunda etapa</t>
  </si>
  <si>
    <t>Parroquia Quinara</t>
  </si>
  <si>
    <t>Infraestructura y vegetacion existente</t>
  </si>
  <si>
    <t>Merorar el espacio publico del centro poblado de Quinara</t>
  </si>
  <si>
    <t>Parque intervenido</t>
  </si>
  <si>
    <t>A</t>
  </si>
  <si>
    <t>Readecuación del coliseo de la parroquia Chuquiribamba</t>
  </si>
  <si>
    <t>Parroquia Chuquiribamba</t>
  </si>
  <si>
    <t>Infraestructura e instalaciones del coliseo existente</t>
  </si>
  <si>
    <t>Mejoramiento de la infraestructura deportiva y cultural existente.</t>
  </si>
  <si>
    <t>Contar con un coliseo renovado y en buenas condiciones para realizar eventos deportivos y socioculturales.</t>
  </si>
  <si>
    <t>Contar con infraestructura deportiva y cultural de buena calidad.</t>
  </si>
  <si>
    <t>Coliseo intervenido.</t>
  </si>
  <si>
    <t>EDUCACIÓN</t>
  </si>
  <si>
    <t>Construcción y adecuación de Baterías Sanitarias para educación inicial en las escuelas municipales</t>
  </si>
  <si>
    <t>LOJA -ESCUELAS MUNICIPALES</t>
  </si>
  <si>
    <t>50% de atención a los estudiantes del nivel de educación inicial</t>
  </si>
  <si>
    <t xml:space="preserve">Incrementar la cobertura del servicio de baterias higiénicas al nivel inicial de las escuelas </t>
  </si>
  <si>
    <t>Implementar las baterias higiénicas en el nivel inicial de la escuelas municipales</t>
  </si>
  <si>
    <t>Incrementar la cobertura a los estudiantes en un 50%</t>
  </si>
  <si>
    <t>50% de cobertura del servicio de baterias higiénicas en seis meses</t>
  </si>
  <si>
    <t>250 estudiantes</t>
  </si>
  <si>
    <t>Dirección de Educación, Cultura y Deportes</t>
  </si>
  <si>
    <t>Educación</t>
  </si>
  <si>
    <t>Ing. Leonardo Valarezo</t>
  </si>
  <si>
    <t>HIGIENE AMBIENTAL</t>
  </si>
  <si>
    <t>Cambio de cubierta perimetral del Mercado San Sebastián I Etapa.</t>
  </si>
  <si>
    <t>San Sebastián</t>
  </si>
  <si>
    <t>Iniciará este año 2015 con la primera etapa</t>
  </si>
  <si>
    <t>Mejorar la imagen del Mercado  San Sebastián</t>
  </si>
  <si>
    <t>Brindar seguridad a usuarios y adjudicatorios del Mercado</t>
  </si>
  <si>
    <t>Avanzar en un 40% el cambio de cubierta perimetral del mercado San Sebastián</t>
  </si>
  <si>
    <t>40% de cubierta cambiada en 4 meses</t>
  </si>
  <si>
    <t>180000 habitantes beneficiados</t>
  </si>
  <si>
    <t>Higiene</t>
  </si>
  <si>
    <t>Mercados</t>
  </si>
  <si>
    <t>Ing. Leonardo Romero e Ing. Leoncio Moreno</t>
  </si>
  <si>
    <t>Remodelación y readecuación de baterias sanitarias y bateas Mercado Gran Colombia, Sector 1</t>
  </si>
  <si>
    <t>El Valle</t>
  </si>
  <si>
    <t>20% de la estructura actual aprovechable</t>
  </si>
  <si>
    <t>Mejorar el servicio a los adjudicatorios y usuarios</t>
  </si>
  <si>
    <t>Implementar baterias sanitarias y bateas acordes con el buen vivir</t>
  </si>
  <si>
    <t>Mejorar las áreas de las baterias y bateas en el sector 1.</t>
  </si>
  <si>
    <t>En dos meses el 100% de baterias instaladas y funcionando</t>
  </si>
  <si>
    <t>Adminsitración Directa</t>
  </si>
  <si>
    <t>Sistema de extracción de malos olores Mercado Centro Comercial Loja.</t>
  </si>
  <si>
    <t>El Sagrario</t>
  </si>
  <si>
    <t>20% de ducto funcionando</t>
  </si>
  <si>
    <t>Controlar los malos olores planta baja del CCL</t>
  </si>
  <si>
    <t>Controlor los malos olores en la planta baja sección carnes y mariscos</t>
  </si>
  <si>
    <t>Minimizar los malos olores</t>
  </si>
  <si>
    <t>En 4 meses se habilita el 100% de los ductos</t>
  </si>
  <si>
    <t>Fortalecimiento del sistema de barrido</t>
  </si>
  <si>
    <t>Ciudad de Loja</t>
  </si>
  <si>
    <t>El 50% de los triciclos existentes han concluido su vida útil</t>
  </si>
  <si>
    <t>Brindar una mejor imagen en los sectores que se interviene con barrido</t>
  </si>
  <si>
    <t>Mejorar la imagen en la fase de barrido</t>
  </si>
  <si>
    <t>Mejorar la imagen del servicio de barrido</t>
  </si>
  <si>
    <t>Se renovará el 50% de los triciclos optimizando su servicio en dos meses</t>
  </si>
  <si>
    <t>Saneamiento Ambiental</t>
  </si>
  <si>
    <t xml:space="preserve">Ing. Israel Lima </t>
  </si>
  <si>
    <t>Fortalecimiento del Centro Integral de Residuos Sólidos</t>
  </si>
  <si>
    <t>Intervenir en el área de lombricultura, reciclaje y disposición final</t>
  </si>
  <si>
    <t>Optimizar la operación de los procesos en las diferentes áreas del CGIRS.</t>
  </si>
  <si>
    <t>Optimizar los procesos de operación</t>
  </si>
  <si>
    <t>Optimizar el Recurso Humano, bajando los tiempos de operación y producción</t>
  </si>
  <si>
    <t>Incremento de la producción de lombricultura y reciclaje y optimización de recursos en obras civiles del CGIRS.</t>
  </si>
  <si>
    <t>220000 habitantes beneficiados</t>
  </si>
  <si>
    <t>Centro de Gestión Integral de Residuos Sólidos</t>
  </si>
  <si>
    <t>Ing. Yohnel Ramírez</t>
  </si>
  <si>
    <t>Cubierta de los lechos en el área de lombricultura I Etapa</t>
  </si>
  <si>
    <t>Cubrir los lechos del área de lombricultura</t>
  </si>
  <si>
    <t>Implementación de un nuevo método de producción de abono orgánico</t>
  </si>
  <si>
    <t>Reducir el tiempo de obtención en el procesamiento de abono orgánico</t>
  </si>
  <si>
    <t>Incrementar la producción de abono orgánico con el nuevo método</t>
  </si>
  <si>
    <t>Obtener abono orgánico en dos meses con el 10% de lechos cubiertos</t>
  </si>
  <si>
    <t>25000 habitantes beneficiarios</t>
  </si>
  <si>
    <t>Construcción de la Celda Emergente Relleno Sanitario II Etapa</t>
  </si>
  <si>
    <t>Iniciará  año 2014 con la primera etapa</t>
  </si>
  <si>
    <t>Mejorar las condiciones de vida de la población que se encuentra cerca del área de influencia del Relleno Sanitario y recuperar el área intervenida.</t>
  </si>
  <si>
    <t>Mejorar las áreas de intervensión</t>
  </si>
  <si>
    <t>Avanzar en el 50% en la construcción de la Celda.</t>
  </si>
  <si>
    <t>En el primer semestre concluir con el 100% de la obra.</t>
  </si>
  <si>
    <t>HIGIENE</t>
  </si>
  <si>
    <t>Centro  de Gestión Integral de Residuos Sólidos</t>
  </si>
  <si>
    <t>Ing. Yonhel Ramírez</t>
  </si>
  <si>
    <t>Construcción de Mausoleos y Nichos</t>
  </si>
  <si>
    <t>Ciudad</t>
  </si>
  <si>
    <t xml:space="preserve">Se cuenta con construcciones de mausoleos y nichos en los diferentes Cementerios </t>
  </si>
  <si>
    <t>Contar con los espacios para los servicios de inhumación</t>
  </si>
  <si>
    <t>Brindar un servicio oportuno a la ciudadanía</t>
  </si>
  <si>
    <t>Disponer de espacios acordes para su inmediata utilización.</t>
  </si>
  <si>
    <t>En el segundo semestre concluir con el 100% la obra.</t>
  </si>
  <si>
    <t>Control de Servicios Básicos</t>
  </si>
  <si>
    <t>15/15/2015</t>
  </si>
  <si>
    <t>RECURSOS HUMANOS</t>
  </si>
  <si>
    <t>Formación continua del talento humano</t>
  </si>
  <si>
    <t>Cantón Loja</t>
  </si>
  <si>
    <t>El 80% de los funcionarios  necesitan ser capacitados en diferentes áreas de trabajo</t>
  </si>
  <si>
    <t>Incrementar la capacidad intelectual y administrativa de los funcionarios municipales</t>
  </si>
  <si>
    <t>Capacitar  en forma permanente a los funcionarios municipales.</t>
  </si>
  <si>
    <t>Capacitar el 20% de los funcionarios de las diferentes áreas municipales.</t>
  </si>
  <si>
    <t>20% de los funcionarios  será capacitado en seis meses.</t>
  </si>
  <si>
    <t xml:space="preserve"> </t>
  </si>
  <si>
    <t>2200 funcionarios, empleados y trabajadores</t>
  </si>
  <si>
    <t>Recursos Humanos</t>
  </si>
  <si>
    <t>Desarrollo Institucional</t>
  </si>
  <si>
    <t>Ing.  Wilmer Carpio Toledo - Eco. Rolando P. Vasquez</t>
  </si>
  <si>
    <t>31-09-2015</t>
  </si>
  <si>
    <t>Administración Directa</t>
  </si>
  <si>
    <t>Evaluación de Desempeño del Talento Humano</t>
  </si>
  <si>
    <t xml:space="preserve">El 90% de los funcionarios, empleados  y trabajadores municipales requieren de una evaluacion de desempeño. </t>
  </si>
  <si>
    <t xml:space="preserve">Evaluar la capacidad, eficiencia y eficacia de desempeño del funcionario, empleado y trabajador municipal. </t>
  </si>
  <si>
    <t>Generar un  sistema de evaluacion permanente  para los funcionarios, empleados y trabajadores municipales</t>
  </si>
  <si>
    <t>Evaluar el 30% de los funcionarios, empleados y trabajadores a través de la adquisción de un software</t>
  </si>
  <si>
    <t>Sofware  adquirido  en 1 (un) mes.</t>
  </si>
  <si>
    <t>31/06/2015</t>
  </si>
  <si>
    <t>Fortalecimiento al proyecto de expedientes electrónicos del Municipio de Loja</t>
  </si>
  <si>
    <t>El sistema de expedientes electrónicos implementado en el GADML requiere  ser fortalecido</t>
  </si>
  <si>
    <t>Fortalecer al  sistema de expedientes electrónicos del GADML.</t>
  </si>
  <si>
    <t xml:space="preserve">Lograr que la institución  pueda atender al publico en forma más rápida y efectiva </t>
  </si>
  <si>
    <t>Lograr que el sistema de expedientes electrónicos funcione al 100%</t>
  </si>
  <si>
    <t>100% del sistema funcionando en un mes.</t>
  </si>
  <si>
    <t>DIRECCION DE SEGURIDAD INDUSTRIAL</t>
  </si>
  <si>
    <t>Construcción de salidas de emergencia para el edificio central del GADM-Loja</t>
  </si>
  <si>
    <t>No existen salidas de emergencia</t>
  </si>
  <si>
    <t>Implementar  vías  de Emergencia para el personal de la Administración Central</t>
  </si>
  <si>
    <t>* Proveer de la infraestructura  y personal necesario  para su ejecución mediante contratación publica</t>
  </si>
  <si>
    <t>Salidas de Emergencia Terminadas y funcionando en 4 meses</t>
  </si>
  <si>
    <t>Salidas de emergencia construidas en un 100% durante 4 meses</t>
  </si>
  <si>
    <t>-</t>
  </si>
  <si>
    <t>500 empleados, trabajadores públicos y ciudadanía en general beneficiados)</t>
  </si>
  <si>
    <t>Dirección de Seguridad Industrial</t>
  </si>
  <si>
    <t>Dr. Lenin Guiterrez Feijoó.                 Ing. Ana Castillo Rojas</t>
  </si>
  <si>
    <t>Integración e implementación de la política , reglamento de seguridad y salud en el trabajo</t>
  </si>
  <si>
    <t>0% de empelados y trabajadores desconocen de la política y reglamento de seguridad y salud en el trabajo</t>
  </si>
  <si>
    <t>Dar a conocer a todos los empleados y trabajadores:  Política y Reglamento de Seguridad y Salud en el Trabajo</t>
  </si>
  <si>
    <t>* Capacitar a trabajadores y empleados en cuanto a la Política  y Reglamento de Seguridad  y Salud en el Trabajo.                                                                   * Difundir la Política y Reglamento de Seguridad y Salud a  través de Medios  Impresos y de comunicación</t>
  </si>
  <si>
    <t>Todo el personal tanto empleados como trabajadores capacitados</t>
  </si>
  <si>
    <t>2400 entre empleados y trabajadores capacitados en 5 meses</t>
  </si>
  <si>
    <t>2400 entre Empleados y Trabajadores  beneficiados</t>
  </si>
  <si>
    <t>Implementación de un sistema de radio- comunicación</t>
  </si>
  <si>
    <t>No existe un sistema de radio comunicación</t>
  </si>
  <si>
    <t>Brindar la comunicación necesaria para las inspecciones de Seguridad y salud del GADM-LOJA</t>
  </si>
  <si>
    <t>Adquirir equipos de Radio-comunicación para la Dirección de Seguridad Industrial</t>
  </si>
  <si>
    <t>Equipos Adquiridos y funcionando en 2 meses</t>
  </si>
  <si>
    <t>6 funcionarios de la Dirección de Seguridad Industrial comunicados permanentemente</t>
  </si>
  <si>
    <t>6 funcionarios públicos beneficiados</t>
  </si>
  <si>
    <t>Dr. Lenin Guiterrez Feijoó.                Ing. Ana Castillo Rojas</t>
  </si>
  <si>
    <t>Tránsito y Transporte</t>
  </si>
  <si>
    <t>Readecuación de paradas y tecnología de recaudo para el funcionamiento de caja común en la ruta troncal del Sistema Intermodal del transporte urbano SITU.</t>
  </si>
  <si>
    <t>25 paradas y 4 estaciones de buses de transporte requieren de mantenimiento permanente y tecnificación para funcionamiento de caja común</t>
  </si>
  <si>
    <t>Brindar espacios adecuados a los usuarios de Transporte Público.</t>
  </si>
  <si>
    <t>25 paradas y 4 estaciones de buses de transporte en buen estado.</t>
  </si>
  <si>
    <t xml:space="preserve"> 25 paradas y 4 estaciones intervenidas.</t>
  </si>
  <si>
    <t>100% de 25 paradas y 4 estaciones de buses intervenidas en 11 meses.</t>
  </si>
  <si>
    <t xml:space="preserve"> El servicio de Transporte Público en la Ruta Troncal tiene un promedio de 53366 pasajeros diarios y que utilizan las paradas de buses.</t>
  </si>
  <si>
    <t>Dirección de Gestión Territorial</t>
  </si>
  <si>
    <t>UMTTTSV-L</t>
  </si>
  <si>
    <t>Econ. Ximena Songor, Ing. Tania Vazques, Tnlg. Eduardo Flores, Ing. Pablo Cuenca Arq. Richard Villa</t>
  </si>
  <si>
    <t>Contratacion Pública</t>
  </si>
  <si>
    <t>Convenio con ANT</t>
  </si>
  <si>
    <t>Implementación de semáforos peatonales y vehiculares para el Sistema Sincronizado y Centralizado en el sector urbano del Cantón Loja</t>
  </si>
  <si>
    <t>117Intersecciones Semaforizadas.</t>
  </si>
  <si>
    <t>Mejorar  la Calidad de Vida, Seguridad Ciudadana, Salud Pública, y la Mitigación de los efectos ambientales constantes en el eje de Movilidad del Plan de Ordenamiento Territorial del Cantón Loja, a través de la implementación de la semaforización, sincronización  y centralización del Sistema de Semaforización.</t>
  </si>
  <si>
    <t xml:space="preserve">Reducir  la accidentabilidad en el Cantón Loja, fomentar la seguridad vial, integrar las intersecciones semafóricas colapsadas, a un sistema sincronizado que permita un mejor flujo vehicular.
</t>
  </si>
  <si>
    <t>Automatizar las 117 Intersecciones Semaforizadas hasta el 31 de Diciembre del 2015</t>
  </si>
  <si>
    <t xml:space="preserve">Implementación de semáforos peatonales y vehiculares, para un sistema sincronizado y centralizado en la ciudad de Loja en 8 meses. </t>
  </si>
  <si>
    <t>117Intersecciones conflictivas con indices de accidentes y tráfico vehicular excesivo</t>
  </si>
  <si>
    <t>Ing. Tania Vasquez e Ing. Pablo Cuenca</t>
  </si>
  <si>
    <t>NO SE VA A EJECUTAR</t>
  </si>
  <si>
    <t>Tecnificación del Sistema Municipal de Estacionamiento Rotativo Tarifado "SIMERT"</t>
  </si>
  <si>
    <t>$623.465,80 es la Recaudación Promedio del Sistema del Año 2014</t>
  </si>
  <si>
    <t>Tecnificar la Operación del Sistema Municipal de Estacionamiento Rotativo Tarifado SIMERT.</t>
  </si>
  <si>
    <t>Implementar el software y hardware de gestión, control operativo y de recaudo</t>
  </si>
  <si>
    <t>Incrementar la Recaudación y Eficiencia del Sistema en un 80% hasta diciembre de 2015</t>
  </si>
  <si>
    <t>Incrementar la Recaudación y  del Sistema en un 80% intervenido en 11 meses.</t>
  </si>
  <si>
    <t>16812 vehiculos utilizan los Espacios del SIMERT.</t>
  </si>
  <si>
    <t xml:space="preserve">Ing. Tania Vasquez </t>
  </si>
  <si>
    <t>Credito</t>
  </si>
  <si>
    <t>Señalización vial integral: horizontal vertical y dispositivos de control de tránsito</t>
  </si>
  <si>
    <t>Ciudad de Loja y Parroquias Rurales</t>
  </si>
  <si>
    <t>40% de vías de la ciudad de Loja y sus parroquias cuentan con señalización horizontal y vertical.</t>
  </si>
  <si>
    <t xml:space="preserve">Implementar señalización vertical y horizontal en diferentes zonas de la ciudad  de Loja y sus parroquias. </t>
  </si>
  <si>
    <t>Sectores criticos señalizados.</t>
  </si>
  <si>
    <t>65% de vias de la ciudad de Loja y sus parroquias, contaran con señalización horizontal y vertical a diciembre de 2015.</t>
  </si>
  <si>
    <t>65% de vias de la ciudad de Loja y sus parroquias, contaran con señalización horizontal y vertical intervenidas en 11 meses.</t>
  </si>
  <si>
    <t>427 kilómetros de vías autorizadas.</t>
  </si>
  <si>
    <t>Arq. Richard Villa</t>
  </si>
  <si>
    <t>Implementación de equipos tecnológicos para control operativo de tránsito segunda fase.</t>
  </si>
  <si>
    <t>Canton Loja</t>
  </si>
  <si>
    <t>Los  habitantes de la ciudad de Loja cuentan con el personal de Policias Municipales de Tránsito capacitado y fortalecido con el equipo mínimo de operación.</t>
  </si>
  <si>
    <t>El objetivo general de este proyecto es dotar al GAD Municipal de Loja de infraestructura, equipamiento tecnológico, técnico,  de soporte que le permita asumir, desarrollar y cumplir de forma óptima las competencias de control operativo de tránsito  y seguridad vial en el cantón Loja.</t>
  </si>
  <si>
    <t xml:space="preserve">Adquisición de equipos y vehículos, , adquisición de sistema y equipos de localización y control, adquisición,  de uniformes  y seguridades para los Policias Municipales de Tránsito, Capacitación y formación de Policias Municipales de Tránsito
</t>
  </si>
  <si>
    <t>Dotar de Patrulleros, motos y dispositivos de comunicación hasta septiembre del 2015</t>
  </si>
  <si>
    <t>En 5 meses de iniciado el proyecto, se ha dotado de logistica al centro de control operativo al 100%</t>
  </si>
  <si>
    <t>240374 Habitantes</t>
  </si>
  <si>
    <t>Ing. Pablo Cuenca e Ing. Tania Vasquez</t>
  </si>
  <si>
    <t>31/09/2015</t>
  </si>
  <si>
    <t>Consultoría, asesoría e investigación especializada en movilidad dentro del cantón Loja</t>
  </si>
  <si>
    <t>Consultoria de movilidad en el cantón</t>
  </si>
  <si>
    <t>Establecimiento del modelo de Gestión de la Movilidad del Municipio de Loja como base para la definición de los parámetros de la Gestión Administrativa de Operaciones, generando que las condiciones de la movilidad en el cantón se desarrolle conforme a la política y normas establecidas.</t>
  </si>
  <si>
    <t xml:space="preserve">Establecer las condiciones para una eficiente gestión administrativa de operaciones </t>
  </si>
  <si>
    <t>* Estructurar el modelo de Gestión Municipal de la Movilidad en el cantón Loja                                    *Facilitar a los operadores la comprensión del nuevo modelo de gestión de la movilidad del cantón Loja y los cambios que ello conlleva en su propio modelo de gestión</t>
  </si>
  <si>
    <t>100 % de la Consultoria hasta el 31 de diciembre de 2015</t>
  </si>
  <si>
    <t xml:space="preserve">Econ. Ximena  </t>
  </si>
  <si>
    <t>JEFATURA DE SALUD</t>
  </si>
  <si>
    <t>Albergue para Fauna Urbana Y Manejo Responsable De Mascotas Ciudad II Etapa</t>
  </si>
  <si>
    <t>Sucre</t>
  </si>
  <si>
    <t>El 10% del proyecto incia el 2014</t>
  </si>
  <si>
    <t>Construir un Albergue para el control y rescate de canes callejeros y operar como Centro para disminuir el crecimiento canino</t>
  </si>
  <si>
    <t>Rescatar canes callejeros a fin de brindar los cuidados necesarios previo a la adopción.</t>
  </si>
  <si>
    <t>Brindar protección a los canes callejeros</t>
  </si>
  <si>
    <t>Avanzar en un 20% con la construcción en tres meses</t>
  </si>
  <si>
    <t>SALUD</t>
  </si>
  <si>
    <t>Ing. Leonardo Romero</t>
  </si>
  <si>
    <t>JEFATURA DE CULTURA</t>
  </si>
  <si>
    <t>Establecimiento del Sistema Cantonal de Cultura, como
mecanismo de gobernanza para el desarrollo del cantón Loja</t>
  </si>
  <si>
    <t>cantón Loja</t>
  </si>
  <si>
    <t>100% de Cobertura</t>
  </si>
  <si>
    <t>Aportar al desarrollo local, desde la generación de políticas públicas culturales.</t>
  </si>
  <si>
    <t>Fortalecimiento y generación de espacios culturales en el cantón Loja</t>
  </si>
  <si>
    <t>Eventos y actividades culturales</t>
  </si>
  <si>
    <t>Realizar diversos eventos y actividades culturales durante los 12 meses del año</t>
  </si>
  <si>
    <t>200.000 habitantes beneficiados</t>
  </si>
  <si>
    <t>EDUCACIÓN, CULTURA Y DEPORTES</t>
  </si>
  <si>
    <t>CULTURA</t>
  </si>
  <si>
    <t>Renato Rojas, Lic. Enith Aguirre, Sr. Jaime Obando, Lic. Verónica Rivas</t>
  </si>
  <si>
    <t>Directa</t>
  </si>
  <si>
    <t>Implementación del Festival Internacional de Artes Escénicas</t>
  </si>
  <si>
    <t>Posicionar  a Loja como la capital cultural del Ecuador</t>
  </si>
  <si>
    <t>Realizar una jornada artística, cultural y académica que promueva la práctica teatral integral</t>
  </si>
  <si>
    <t>Obras teatrales y jornadas académicas</t>
  </si>
  <si>
    <t>Realización de diversas obras teatrales nacionales y extranjeras y jornadas académicas sobre el arte escénico durante 45 días</t>
  </si>
  <si>
    <t>Renato Rojas. Lic. Verónica Rivas</t>
  </si>
  <si>
    <t>Proyecto nuevo</t>
  </si>
  <si>
    <t>Implementación de una Agenda Intercultural concertada, que permita difundir las diferentes manifestaciones de las culturas locales, en todas sus formas</t>
  </si>
  <si>
    <t>Elaborar una Agenda Cultural mensual concertada</t>
  </si>
  <si>
    <t>Elaborar una Agenda Cultural mensual concertada, que permita difundir las diferentes manifestaciones de las culturas locales, en todas sus formas</t>
  </si>
  <si>
    <t>Elaboración de una agenda cultural mensual</t>
  </si>
  <si>
    <t>Elaboración de dos mil agendas culturales mensuales por todo el año</t>
  </si>
  <si>
    <t>Renato Rojas</t>
  </si>
  <si>
    <t>Estudios e Implementación de una Escuela de Formación de Gestores Culturales</t>
  </si>
  <si>
    <t>Contar con  una Escuela de Formación de Gestores Culturales</t>
  </si>
  <si>
    <t>Realizar los estudios e Implementación de una Escuela de Formación de Gestores Culturales</t>
  </si>
  <si>
    <t>Estudios e Implementación de una Escuela de Formación de Gestores Culturales de todo el cantón durante un año académico</t>
  </si>
  <si>
    <t>Lic. Verónica Rivas</t>
  </si>
  <si>
    <t>GESTIÓN AMBIENTAL</t>
  </si>
  <si>
    <t>Manejo de Sistemas Agroecológicos en las Microcuencas Shucos, Celen, Campana y Tambo Blanco</t>
  </si>
  <si>
    <t xml:space="preserve">Jimbilla , Gualel , Malacatos </t>
  </si>
  <si>
    <t xml:space="preserve">* Proyecto elaborado.                     * 80 has. identificadas desprovistas de Sistemas Agroforestales y Silvopastoriles.                                * Agricultores desconocen la agroindustria rural                       </t>
  </si>
  <si>
    <t>Implementar  el manejo de Sistemas Agroecológicos Alternativos,  como estrategia de Mitigación y Adaptación al Cambio Climático.</t>
  </si>
  <si>
    <t xml:space="preserve">
Implementar sistemas silvopastoriles 
 Reforestar  y propiciar la regeneración natural en zonas degradadas
Emprender procesos de Educación Ambiental y Cambio Climático 
Fortalecer el Sistema Organizativo de la Comunidad.
</t>
  </si>
  <si>
    <t xml:space="preserve">Reforestar 40 has.         Implementar 10 has en Sistemas Agroforestales y Silvopastoriles.                 10 familia beneficiados con infraestructuras agropecuaria 20  familia capacitados </t>
  </si>
  <si>
    <t xml:space="preserve">* Alfinalizar el año  reforestadadas 40 has                 *Implementado 10 has. en Sistemas Agroforestales y silvopastoriles.                 * Al año de  ejecutado el proyecto se ha capacitado a 200 habitantes. Al finalizar el año diez familias con infraestructura agropecuaria </t>
  </si>
  <si>
    <t>200 habitantes beneficiados</t>
  </si>
  <si>
    <t>Gestión Ambiental</t>
  </si>
  <si>
    <t>Cuencas Hidrográficas</t>
  </si>
  <si>
    <t>Ing. Santos Chamba</t>
  </si>
  <si>
    <t>D</t>
  </si>
  <si>
    <t>Fondos Premio BEDE</t>
  </si>
  <si>
    <t>Proceso de acreditación ante el SUMA</t>
  </si>
  <si>
    <t>Se cuenta con borradores de ordenanza</t>
  </si>
  <si>
    <t>Acreditar a la Municipalidad de Loja como Autoridad Ambiental de Aplicación Responsable</t>
  </si>
  <si>
    <t>1. Cumplir de requisitos establecidos en la normativa ambiental Acuerdo Ministerial 068 y 2.  Creación y manejo de un sistema  de información ambiental</t>
  </si>
  <si>
    <t>Al finalizar el  año 2015 la Municipalidad se encuentra acreditada al el SUMA como Autoridad Ambiental de aplicación Responsable</t>
  </si>
  <si>
    <t>214855 habitantes</t>
  </si>
  <si>
    <t>Calidad Ambiental</t>
  </si>
  <si>
    <t xml:space="preserve">Ing. María del Cisne Jaramillo </t>
  </si>
  <si>
    <t>Regularización ambiental  de proyectos municipales</t>
  </si>
  <si>
    <t>75 % proyectos municipales cuentan con licencia ambiental</t>
  </si>
  <si>
    <t>Iniciar la regularización y obtención de las licencias ambientales de los proyectos municipales</t>
  </si>
  <si>
    <t>1. Regularizar las actividades y/o proyectos municipales ante el SUIA 2. Obtener la licencia ambiental para la ejecución de actividades y/o proyectos municipales</t>
  </si>
  <si>
    <t>Al finalizar el año 2015 se han obtenido las licencias ambientales para la ejecución de actividades/proyectos municipales</t>
  </si>
  <si>
    <t xml:space="preserve">D (Certificaciones y fichas ambientales) y C(declaratorias de impacto ambiental y estudios de impacto ambiental) </t>
  </si>
  <si>
    <t>Seguimiento de procesos ambientales y auditorias ambientales de los proyectos municipales</t>
  </si>
  <si>
    <t>75 % de linea base</t>
  </si>
  <si>
    <t>Realizar el seguimiento de procesos ambientales y auditorias ambientales de los proyectos municipales</t>
  </si>
  <si>
    <t>1. Elaborar los informes anuales de cumplimiento de los PMA 2. Elaborar las auditorias de cumplimiento</t>
  </si>
  <si>
    <t>Realizar el seguimiento, control y monitoreo a los planes de manejo ambiental de los proyectos municipales</t>
  </si>
  <si>
    <t>Al finalizar el  año 2015 la Municipalidad a presentados los informes de cumplimiento de los PMA y Auditorías Ambientales aprobados</t>
  </si>
  <si>
    <t xml:space="preserve">C  y D </t>
  </si>
  <si>
    <t>D (Informes de cumplimiento) y C (Auditorias Ambientales)</t>
  </si>
  <si>
    <t>Determinación de lugares de disposición final de escombros de materiales de construcción</t>
  </si>
  <si>
    <t>No se cuenta con linea base</t>
  </si>
  <si>
    <t xml:space="preserve">Determinar lugares de disposicion final de escombros de materiales de construcción </t>
  </si>
  <si>
    <t>1. Determinar, evaluar y aprobar los posibles lugares de disposición final de materiales de construcción</t>
  </si>
  <si>
    <t>Al finalizar el  año 2015 la Municipalidad tiene los lugares de de diposicion para escombreras aprobadas</t>
  </si>
  <si>
    <t>Educación ambiental en el cantón Loja</t>
  </si>
  <si>
    <t>Escasa educación ambiental en el centro de Conservación Faunística (Zoologico)</t>
  </si>
  <si>
    <t>Generar una cultura de cuidado y conservación de fauna y flora</t>
  </si>
  <si>
    <t>Levantar una campaña educativa del cuidado y conservación de fauna y flora.</t>
  </si>
  <si>
    <t>Diseño e Implementación de una campaña educativa del cuidado y conservación de fauna y flora.</t>
  </si>
  <si>
    <t>Al finalizar el año 2015 la campaña educativa del cuidado y conservación de fauna y flora ejecutada</t>
  </si>
  <si>
    <t>214855 habitantes de Loja</t>
  </si>
  <si>
    <t>Educación Ambiental</t>
  </si>
  <si>
    <t>Ing.Alberto Rodríguez</t>
  </si>
  <si>
    <t>C y D</t>
  </si>
  <si>
    <t>Implementación de huertos hortícolas urbano- rurales como estrategia para mitigación de gases de efecto invernadero en el cantón Loja</t>
  </si>
  <si>
    <t>Huertos horticolas de bajo rendimiento en escuelas municipales y barrios</t>
  </si>
  <si>
    <t>Implementar huertos hortícolas en escuelas municipales y barrios</t>
  </si>
  <si>
    <t>8 escuelas municipales con huertos de alto rendimiento y dos barrios piltos</t>
  </si>
  <si>
    <t>Al finalizar el año 8 escuelas municipales con huertos de alto rendimiento y dos barrios piltos implementados</t>
  </si>
  <si>
    <t>Ing. Karla Minga</t>
  </si>
  <si>
    <t>Mecanismos de Desarrollo Limpio</t>
  </si>
  <si>
    <t>No existe información</t>
  </si>
  <si>
    <t>Establecer Mecanismos de Desarrollo Limpio en la ciudad de Loja</t>
  </si>
  <si>
    <t>Desarrollar procesos y mecanismos de Desarrollo Limpio en la ciudad de Loja</t>
  </si>
  <si>
    <t>Mecanismos de Desarrollo Limpio establecidos</t>
  </si>
  <si>
    <t>Al finalizar el año los Mecanismos de Desarrollo Limpio establecidos</t>
  </si>
  <si>
    <t xml:space="preserve"> Sistema de Gestión Ambiental ISO 14001</t>
  </si>
  <si>
    <t>Implementación del Sistema de Gestión Ambiental ISO 14001</t>
  </si>
  <si>
    <t>Elaborar el estudio para la Implementación del Sistema de Gestión Ambiental ISO 14001</t>
  </si>
  <si>
    <t>Estudio Elaborado</t>
  </si>
  <si>
    <t>Al finalizar el año el estudio se encuentra elaborado</t>
  </si>
  <si>
    <t>C</t>
  </si>
  <si>
    <t>Implementación de conectores verdes peatonales ecológicos</t>
  </si>
  <si>
    <t>Cuidad de Loja</t>
  </si>
  <si>
    <t>30%  de cobertura vegetal</t>
  </si>
  <si>
    <t>Incrementar la cobertura vegetal de la cuidad</t>
  </si>
  <si>
    <t>Implementar corredores verdes que conecten las masas arbóreas periurbanas con las urbanas, para mitiga el efecto invernadero</t>
  </si>
  <si>
    <t>Incrementar la cobertura vegetal en un 10%</t>
  </si>
  <si>
    <t>metros cuadrados de arbolado vial/urbano nuevo</t>
  </si>
  <si>
    <t>17000 habitantes</t>
  </si>
  <si>
    <t>GESTION AMBIENTAL</t>
  </si>
  <si>
    <t>PARQUES y JARDINES</t>
  </si>
  <si>
    <t>Ing. Pedro Kingman</t>
  </si>
  <si>
    <t xml:space="preserve">Contratación Pública </t>
  </si>
  <si>
    <t>Dotación anual</t>
  </si>
  <si>
    <t>Habilitación y mantenimiento de las piletas de la ciudad</t>
  </si>
  <si>
    <t>5/9 piletas de la cuidad están en funcionamiento</t>
  </si>
  <si>
    <t>Potenciar el ornato de la cuidad</t>
  </si>
  <si>
    <t>Poner en funcionamiento la infraestructura exsitente, especificamente, las piletas de la cuidad</t>
  </si>
  <si>
    <t>Incrementar el funcionamiento del numero de piletas a 9</t>
  </si>
  <si>
    <t>9 de 9 piletas en funcionamiento</t>
  </si>
  <si>
    <t>170 0000 habitantes</t>
  </si>
  <si>
    <t>Producción de plantas en  vivero municipal e incorporación de nuevos viveros</t>
  </si>
  <si>
    <t>40 variedades de planta de jardín, tres invernaderos en decadencia</t>
  </si>
  <si>
    <t>Potenciar la infraestructura existente en el Vivero municipal</t>
  </si>
  <si>
    <t>Incorporar material vegetal novedoso al germoplasma del Vivero, cuando esre tenga la infraestructura funcionando</t>
  </si>
  <si>
    <t>80 variedades de planta de jardín, para el ornato de Loja</t>
  </si>
  <si>
    <t>no. de nuevas variedades introducidas en las plazas de la cuidad por año , viveros implementados</t>
  </si>
  <si>
    <t>214 000 habitantes</t>
  </si>
  <si>
    <t>Dotación trimestral</t>
  </si>
  <si>
    <t>Proyecto de mejoramiento de ornamentación e infraestructura del Centro Recreacional Yamburara</t>
  </si>
  <si>
    <t>Vilcabamba</t>
  </si>
  <si>
    <t>Centro recreacional con áreas deterioradas</t>
  </si>
  <si>
    <t xml:space="preserve">Repotenciar el Centro Recreacional Yamburara </t>
  </si>
  <si>
    <t>Readecuar la infraestructura existente, tanto del Orquideario como el área Piscicola y definir el aviario</t>
  </si>
  <si>
    <t xml:space="preserve">Aviario, Orquiderio y Área de Pisciculta en funcion miento y exhibición </t>
  </si>
  <si>
    <t>incremento de un 10% de visitantes al Centro / año</t>
  </si>
  <si>
    <t>5000 habitantes</t>
  </si>
  <si>
    <t>Ing. Pablo Mora</t>
  </si>
  <si>
    <t>Estudios y ejecución del Plan urbano paisajístico</t>
  </si>
  <si>
    <t>no tiene línea base</t>
  </si>
  <si>
    <t>Levantar una metodología para el manejo del arbolado urbano</t>
  </si>
  <si>
    <t>Establecer un método que permita censar, podar y mantener el arbolado de la cuidad</t>
  </si>
  <si>
    <t>Metodología para la Poda y Registro del arbolado urbano</t>
  </si>
  <si>
    <t># de árboles censados en x tiempo</t>
  </si>
  <si>
    <t>Intervenciones  y Mejoramiento de los parques, jardines, parterres y riveras de ríos</t>
  </si>
  <si>
    <t>Estudios, infraestructura inhabilitada, obra inconclusa dentro de parques</t>
  </si>
  <si>
    <t>Potenciar el espacio recreacional de los parques , jardines, parterres y riberas</t>
  </si>
  <si>
    <t>Poner en funcionamiento infraestructura existente del parque, que ahora se encuentra en desuso o en obra gris</t>
  </si>
  <si>
    <t>Aumentar el mejoramiento y mantenimiento del  espacio público recreativo, parterres y riveras con capacidad instaurada</t>
  </si>
  <si>
    <t>Al finalizar el año en un 25 % ha incrementado el  el mejoramiento y mantenimiento del  espacio público recreativo, parterres y riveras con capacidad instaurada</t>
  </si>
  <si>
    <t xml:space="preserve">Reubicacion de Planta de Aceites y Lubricantes Usados a través del Marco Legal </t>
  </si>
  <si>
    <t xml:space="preserve">Lugar inadecuado para la operación de la planta </t>
  </si>
  <si>
    <t>Reubicar la planta de reciclaje de aceites.</t>
  </si>
  <si>
    <t>Adquirir el terreno para la reubicicaión de la planta de aceites</t>
  </si>
  <si>
    <t>Adquirir el terrenos</t>
  </si>
  <si>
    <t>Al finalizar el año, el terreno se encuentra adquirido</t>
  </si>
  <si>
    <t xml:space="preserve">PRALU-CALIDAD AMBIENTAL </t>
  </si>
  <si>
    <t>Ampliación y mejoramiento del zoológico y protección de fauna del parque Orillas del Zamora</t>
  </si>
  <si>
    <t>Implementar el zoológico  y centro de protección faunístico más importante de la Región Sur del Ecuadore para el manejo responsable de especies nativas y exóticas, cuyo bienestar haya sido vulnerado</t>
  </si>
  <si>
    <t>Renovar la infraestructura, Incorporar recursos humanos adecuados, así como capacitarlos de forma permanente. Establecer un programa de eduación ambiental</t>
  </si>
  <si>
    <t>Elevar el númeo de visitantes en el zoológico municipal</t>
  </si>
  <si>
    <t>Se buscará elevar en un 100% el número de visitantes al zoológico</t>
  </si>
  <si>
    <t>ZOOLOGICO Y PROTECCION DE LA FAUNA</t>
  </si>
  <si>
    <t>Ecol. Katiuska Valarezo</t>
  </si>
  <si>
    <t>c</t>
  </si>
  <si>
    <t>Estudios realizados por planificación y Obras públicas 20114 con asesoramiento de técnicos del zoológico</t>
  </si>
  <si>
    <t>PROMOCIÓN POPULAR</t>
  </si>
  <si>
    <t>Desarrollar la conformación de las Escuelas de Participación Ciudadana</t>
  </si>
  <si>
    <t>En los dos primerosdos trimestres se llegará a una cobertura de 160 personas de los diferentes barrios del Cantón Loja</t>
  </si>
  <si>
    <t xml:space="preserve">Incrementar la cobertura de las Escuelas de Formación Ciudadana </t>
  </si>
  <si>
    <t>Lograr que las Escuelas de Formación Ciudadana, estén direccionadas a Niñ@s, Adolescente, Jóvenes y Adultos</t>
  </si>
  <si>
    <t>Lograr que tod@s los participantes salgan satisfechos de la Escuela de formación Ciudadana.</t>
  </si>
  <si>
    <t xml:space="preserve">En el último trimestre se logrará llegará a unas 80 personas más </t>
  </si>
  <si>
    <t>240 habitantes beneficiados</t>
  </si>
  <si>
    <t>PLANIFICACIÓN</t>
  </si>
  <si>
    <t>Ing. DANIEL CARRIÓN</t>
  </si>
  <si>
    <t>COORDINACIÓN DEPORTIVA MUNICIPAL</t>
  </si>
  <si>
    <t>"Vuelve Loja a Pedalear Por Salud" Compromiso de Todos</t>
  </si>
  <si>
    <t>Actualmente se cuenta con 15 ciclistas</t>
  </si>
  <si>
    <t>Incentivar a la ciudadanía a la utilización de la bicicleta como medio dce trasporte alternativo</t>
  </si>
  <si>
    <t>Desarrollar el evento "Vuelve Loja a Pedalear por Salud"</t>
  </si>
  <si>
    <t>500 ciclistas particpando del evento durante el año 2015</t>
  </si>
  <si>
    <t>De mayo a diciembre. 32 Ciclos Paseos por diferentes sectores urbana de la ciudad de Loja</t>
  </si>
  <si>
    <t>Coordinación Deportiva Municipal</t>
  </si>
  <si>
    <t>Dr. José Barrazueta</t>
  </si>
  <si>
    <t>Autogestión</t>
  </si>
  <si>
    <t>"Vuelve Loja" Porque el Fútbol es compromiso de Todos</t>
  </si>
  <si>
    <t>Actualmente se cuenta con 20 equipos de fútbol</t>
  </si>
  <si>
    <t>Incentivar a la juventud en la práctica del deporte</t>
  </si>
  <si>
    <t>Desarrollar el evento " Vuelve Loja" porque el Fútbol es compromiso de Todos</t>
  </si>
  <si>
    <t>500 equipos participando del evento durante el año 2015</t>
  </si>
  <si>
    <t>2 campeotatos de futbol ejecutados durante el año 2015, tanto de adultos como de menores</t>
  </si>
  <si>
    <t>" Vuelve Loja" porque el Baloncesto es compromiso de todos</t>
  </si>
  <si>
    <t>Al momento existen 20 equipos de damas y varones</t>
  </si>
  <si>
    <t>Incentivar a la ciudadanía en la práctica del baloncesto</t>
  </si>
  <si>
    <t>Desarrollar el evento "Vuelve Loja porque el baloncesto es compromiso de todos</t>
  </si>
  <si>
    <t>Llegar a 100 clubs integrados en el evento</t>
  </si>
  <si>
    <t>1 campeonato de baloncesto realizado en la ciudad de Loja durante el año 2015</t>
  </si>
  <si>
    <t>d</t>
  </si>
  <si>
    <t>" Vuelve Loja" porque el Ecuavoley  es compromiso de todos</t>
  </si>
  <si>
    <t>Al momento se cuenta con 20 equipos de ecuavoli</t>
  </si>
  <si>
    <t>Incentivar a la ciudadanía en la práctica del ecuavoley</t>
  </si>
  <si>
    <t>Desarrollar el evento "Vuelve Loja porque el ecuavoley  es compromiso de todos</t>
  </si>
  <si>
    <t>Llegar a 60 equipos de ecuavoley</t>
  </si>
  <si>
    <t>1 campeonato de ecuavoley realizado en la ciudad de Loja, durante el año 2015</t>
  </si>
  <si>
    <t>31/11/2015</t>
  </si>
  <si>
    <t>VIII Juegos de Integración Municipal</t>
  </si>
  <si>
    <t>Existen 40 equipos conformados</t>
  </si>
  <si>
    <t>Incentivar a los empleados y trabajadores a la práctica de los deportes</t>
  </si>
  <si>
    <t>Desarrollar el evento "Vuelve Loja" porque el Deporte es compromiso de Todos- Juegos Internos</t>
  </si>
  <si>
    <t>Llegar a conformar 60 equipos integrados por empleados y trabajadores municipales</t>
  </si>
  <si>
    <t>1 campeonato deportivo interdepartamental  realizado en el año 2015</t>
  </si>
  <si>
    <t>GESTIÓN ECONÓMICA</t>
  </si>
  <si>
    <t>Organización de Ferias Interparroquiales de Promoción Cultural Productiva y Turística, III Fase</t>
  </si>
  <si>
    <t>13 parroquias del sector Rural</t>
  </si>
  <si>
    <t xml:space="preserve">Generar utilidad económica a pequeños productores del sector Rural Cantón Loja.  </t>
  </si>
  <si>
    <t>Exponer y difundir las potencialidades productivas, culturales, gastronómicas, artesanales y turísticas en la zonas urbana y rural del cantón Loja con la participación de las 13 Parroquias  rurales, dinamizando la económica e impulsando la producción.</t>
  </si>
  <si>
    <t xml:space="preserve">• Realizar 13 ferias Rurales y 13 ferias Urbanas.                                                       • Fortalecer la cultura,  producción y turismo del Cantón Loja
• Impulsar y fortalecer la actividad económica en las parroquias.
• Facilitar el intercambio directo entre productores y consumidores.
• Rescate y conservación de las costumbres tradicionales de los habitantes. 
• Apoyo en la comercialización y articulación entre instituciones.
• Rescate de los valores culturales y conocimientos ancestrales de la población rural de nuestro cantón.
</t>
  </si>
  <si>
    <t xml:space="preserve">•Ejecutar 26 ferias  interparroquiales Rurales-Urbanas.                                        •Impulsar y fortalecer la producción agropecuaria, artesanal, cultural y turística generando un mayor sentido de unidad y valoración, con la participación activa de las 13 parroquias rurales  del cantón Loja  </t>
  </si>
  <si>
    <t xml:space="preserve">1950 productores-expositores que se benefician de Ferias Urbanas.                     1300 productores-expositores que se benefician de Ferias Rurales.            </t>
  </si>
  <si>
    <t>3200 beneficiarios</t>
  </si>
  <si>
    <t>Gestión Económica</t>
  </si>
  <si>
    <t>Comercialización</t>
  </si>
  <si>
    <t>Ing. Rosa merino - Ing. Jhon Castillo</t>
  </si>
  <si>
    <t>Fortalecimiento, capacitación y cambio de imagen de las  Ferias Libres en la ciudad de Loja</t>
  </si>
  <si>
    <t xml:space="preserve">Falta de competitividad dell pequeño productor  mediante  la creación de un vinculo directo con el consumidor.   </t>
  </si>
  <si>
    <t>Proporcionar un espacio a pequeños productores para que comercialicen sus productos.</t>
  </si>
  <si>
    <t xml:space="preserve">•Generar utilidada a los pequeños productores con la venta de los productos.         •Expender los productos orgánicos bajo controles de  higiene.                                •Incrementar  espacios adecuados para la comercialización de productos en las Ferias Libres.          </t>
  </si>
  <si>
    <t xml:space="preserve">Fortalecer las Ferias Libres con una imagen nueva, la cual le permita incrementar la comercialización y mejorar  la presentación de los productos.       </t>
  </si>
  <si>
    <t>2400 familias del Cantón Loja</t>
  </si>
  <si>
    <t>2400 beneficiarios</t>
  </si>
  <si>
    <t>Ing. Rosa Merino, Ing Jhon Castillo, Ing. Fabian Vega, Sr Marco Gonzalez, Sr. Julio Rodriguez</t>
  </si>
  <si>
    <t xml:space="preserve">Certificación de productos limpios y apoyo a la comercialización  </t>
  </si>
  <si>
    <t>Sector norte y sur de la ciudad de Loja.</t>
  </si>
  <si>
    <t xml:space="preserve">No existe una legalización del registro sanitario y marca en productos.  </t>
  </si>
  <si>
    <t xml:space="preserve">Crear modelos de certificación los cuales permitan garantizar la calidad del producto.   </t>
  </si>
  <si>
    <t>•Crear modelos de certificación los cuales permitan articular con las grandes cadenas de comercialización</t>
  </si>
  <si>
    <t xml:space="preserve">Establecer  espacios donde los consumidores puedan adquirir  productos limpios y amigables con el ambiente.  </t>
  </si>
  <si>
    <t>56 productores  miembros de las diferentes asociaciones del Cantón Loja.</t>
  </si>
  <si>
    <t>56 productores  beneficiarios</t>
  </si>
  <si>
    <t>Dirección de Gestión Económica</t>
  </si>
  <si>
    <t xml:space="preserve">Ing. Rosa Merino, Ing Jhon Castillo, </t>
  </si>
  <si>
    <t>Generar cadenas y canales de comercialización</t>
  </si>
  <si>
    <t>Parroquias rurales del cantón</t>
  </si>
  <si>
    <t xml:space="preserve">Conformación y legalización de asociaciones de pequeños productores del sector rural del Catón Loja </t>
  </si>
  <si>
    <t> Generar cadenas de producción asociativa en cada una de las parroquias.</t>
  </si>
  <si>
    <t xml:space="preserve"> - Generar cadenas de producción asociativa en cada una de las parroquias, ya sea por afinidad de producción o por la ubicación, así como cadenas de producción asociativa entre parroquias.
- Evitar la intermediación desleal que ocasiona el encarecimiento de los productos, genera escaza o nula utilidad para el productor y encarece los productos para el consumidor.
</t>
  </si>
  <si>
    <t>Fomentar la asociatividad de productores por parroquia rural, para  la comercialización.</t>
  </si>
  <si>
    <t xml:space="preserve"> 325 productores asociados.  </t>
  </si>
  <si>
    <t xml:space="preserve"> 325 productores beneficiarios</t>
  </si>
  <si>
    <t>Ing. Rosa Merino, Ing Jhon Castillo,Ing. Fabian Vega.</t>
  </si>
  <si>
    <t>Fortalecimiento a la comercialización de  productos mediante un plan de marketing.</t>
  </si>
  <si>
    <t>Chuquiribamba, San Pedro de Vilcabamba, Vilcabamba, Chantaco, San Lucas, Cisne</t>
  </si>
  <si>
    <t xml:space="preserve">Falta de estrategias  de comercialización que permitan mejorar las comercialización de productos.     </t>
  </si>
  <si>
    <t xml:space="preserve">Desarrollar  un plan de marketing para reactivar y potenciar la comercialización de productos. </t>
  </si>
  <si>
    <t xml:space="preserve">• Crear estrategias de comercialización los cuales permitan un posicionamiento en el mercado local.       • Reactivar la comercialización mediante pack de publicidad.                                                                   • Buscar alternativas de presentación de productos tanto en exhibidor como empaques.                            • Capacitación a productores sobre estrategias de mercado y valor agregado.                </t>
  </si>
  <si>
    <t xml:space="preserve">Posicionamiento de productos con valor agregado bajo una marca y con un plan de  marketing  </t>
  </si>
  <si>
    <t>210  productores de Chuquiribamba, San Pedro de Vilcabamba, Vilcabamba, Chantaco, San Lucas, Cisne</t>
  </si>
  <si>
    <t>210  productores beneficiarios</t>
  </si>
  <si>
    <t>Canastas familiares</t>
  </si>
  <si>
    <t xml:space="preserve">Las alternativas de comercialización son escasas, dificutando  dificultan  la comercilización    </t>
  </si>
  <si>
    <t xml:space="preserve"> Implementar una canasta de productos agropecuarios en donde las familias puedan adquirir directamente a  productores del cantón Loja.</t>
  </si>
  <si>
    <t>• Comercializar 100 canastas familiares de manera asociativa  por mes a las diferentes instituciones
• Comercializar 100 canastas familiares en las cuatro Ferias Libres que brinda el Municipio</t>
  </si>
  <si>
    <t xml:space="preserve">Crear alternativas para el expendio de productos, los cuales permitan un ingreso adicional a las familias de las Parroquias Rurales.   </t>
  </si>
  <si>
    <t xml:space="preserve">390 productores de las Parroquias.  </t>
  </si>
  <si>
    <t>390 productores beneficiarios</t>
  </si>
  <si>
    <t>Ing. Rosa Merino, Ing Jhon Castillo</t>
  </si>
  <si>
    <t>Ferias Orgánicas y Agroecológicas II Fase</t>
  </si>
  <si>
    <t xml:space="preserve">Continuidad a las Ferias Agroecológicas    </t>
  </si>
  <si>
    <t>Proporcionar continuidad  y mejoramiento de las ferias Agroecológica.</t>
  </si>
  <si>
    <t xml:space="preserve">• Implementar estrategias de comercialización.                                         • Mejor los espacios donde se realiza la venta de productos.                                     • Capacitar y dar seguimiento a los productores que participan en estas ferias.           </t>
  </si>
  <si>
    <t xml:space="preserve">Crear espacios donde se consoliden las ferias orgánicas y agroecológicas, proporcionando una alternativa para la adquisición de productos limpios y amigables con el ambiente. </t>
  </si>
  <si>
    <t xml:space="preserve">56 productores asociados  a organizaciones orgánicas y agroecológicas.  </t>
  </si>
  <si>
    <t>56  productores beneficiarios</t>
  </si>
  <si>
    <t>Tu granja en casa: cultivo de hortalizas y crianza de gallinas ponedoras</t>
  </si>
  <si>
    <t>Periferia ciudad de Loja</t>
  </si>
  <si>
    <t>Bajos ingresos económicos de las familias del sector periférico</t>
  </si>
  <si>
    <t>Implementar granjas familiares para mejorar la alimentación y el excedente para su comercialización</t>
  </si>
  <si>
    <t>Introducir nuevos sistemas de siembra hortícola y fomentar la crianza de animales menores, en casa</t>
  </si>
  <si>
    <t>Mejorar  la alimentación y los ingresos de las familias de los barrios periféricos de la ciudad de Loja</t>
  </si>
  <si>
    <t>80 granjas familiares instaladas con nuevos sistemas de explotación,  en la población con doble vulnerabilidad, en 12 meses</t>
  </si>
  <si>
    <t>80 beneficiarios</t>
  </si>
  <si>
    <t>Generación de Empleo</t>
  </si>
  <si>
    <t>Ing. Luis Cuje</t>
  </si>
  <si>
    <t>Impulso a la producción avícola</t>
  </si>
  <si>
    <t>Yangana</t>
  </si>
  <si>
    <t>Baja productividad de la crianza de gallinas criollas</t>
  </si>
  <si>
    <t>Fomentar la producción de gallinas  y huevos criollos</t>
  </si>
  <si>
    <t>Implementar el proceso de incubación de huevos criollos, a través del trabajo asociativo.</t>
  </si>
  <si>
    <t>La comunidad genera un emprendimiento asociativo para la crianza de gallinas y huevos criollos</t>
  </si>
  <si>
    <t>Unidad de producción instalada con altos niveles de rendimiento en la producción de gallinas criollas y huevos, en 12 meses.</t>
  </si>
  <si>
    <t>50 beneficiarios</t>
  </si>
  <si>
    <t>Dra. Jenny Chamba</t>
  </si>
  <si>
    <t>Fomento de la producción de frutícola</t>
  </si>
  <si>
    <t>Taquil</t>
  </si>
  <si>
    <t xml:space="preserve">Bajos ingresos económicos de las familias productoras de frutales </t>
  </si>
  <si>
    <t>Mejorar el rendimiento de producción de las especies de frutales, ancladas a las cadenas productivas.</t>
  </si>
  <si>
    <t>Introducir nuevas variedades en calidad y rendimiento de frutales, con un manejo técnico apropiado.</t>
  </si>
  <si>
    <t>Incrementar los ingresos de los agricultores, mediante el impulso de la producción frutícola</t>
  </si>
  <si>
    <t>30.000 m2 de producción de plantas frutícolas, con nuevas variedades adaptadas a la zona, en 12 meses</t>
  </si>
  <si>
    <t>Ing. Guido Ortiz</t>
  </si>
  <si>
    <t>Instalación de un Vivero para el manejo de sistemas de producción de plantas hortícolas y frutales</t>
  </si>
  <si>
    <t>Chuquiribamba</t>
  </si>
  <si>
    <t xml:space="preserve">Elevados costos  en la adquisición de plántulas de hortalizas y frutales, por parte de los agricultores del noroccidente del cantón </t>
  </si>
  <si>
    <t>Implementación de un vivero para la producción de hortalizas y frutales propias de la zona</t>
  </si>
  <si>
    <t>Producir hortalizas y frutales con tecnología avanzada para abastecer la demanda de los agricultores de las parroquias noroccidentales.</t>
  </si>
  <si>
    <t xml:space="preserve">Incrementar la producción de hortalizas y frutales de los agricultores de la zona, a precios justos </t>
  </si>
  <si>
    <t xml:space="preserve">30% de disminución en los costos de las plántulas de hortalizas y frutales que adquieren actualmente los productores de las parroquias noroccidentales, en 12 meses. </t>
  </si>
  <si>
    <t>Productotes Agrícolas  parroquias noroccidentales</t>
  </si>
  <si>
    <t>Impulso a la producción  de hortalizas orgánicas mediante sistemas semihidropónicos</t>
  </si>
  <si>
    <t>Malacatos</t>
  </si>
  <si>
    <t>Deficiencia alimentaria de los adultos mayores de la parroquia Malacatos.</t>
  </si>
  <si>
    <t>Inserción de los adultos mayores a la actividad productiva</t>
  </si>
  <si>
    <t>Establecer la producción de hortalizas, mediante el sistema semihidropónico</t>
  </si>
  <si>
    <t>Mejorar la dieta alimenticia de los adultos mayores a través del consumo de hortalizas orgánicas</t>
  </si>
  <si>
    <t>60 Adultos mayores, mejoraran su dieta alimenticia con la producción de hortalizas mediante un sistema semihidropónico, en 12 meses</t>
  </si>
  <si>
    <t>60 beneficiarios</t>
  </si>
  <si>
    <t>Fortalecimiento del sector de la caña de azúcar, elaboración de derivados.</t>
  </si>
  <si>
    <t>Quinara</t>
  </si>
  <si>
    <t>Bajos conocimientos y escacez tecnología para la elaboración de los derivados de la caña.</t>
  </si>
  <si>
    <t>Mejorar las condiciones de vida de los beneficiarios con la producción, transformación y comercialización de los derivados de la caña</t>
  </si>
  <si>
    <t>Implementación de nueva tecnología para la producción de derivados de la caña.                                                                     Mejorar las conocimientos de la población en la  elaboración de los derivados de la caña, mediante la capacitación y asistencia técnica</t>
  </si>
  <si>
    <t>Generar fuentes de empleo para los beneficiarios, a través del procesamiento de derivados de la caña.</t>
  </si>
  <si>
    <t xml:space="preserve">50 familias  incrementarán en un 30% sus ingresos, por la producción de derivados de la caña, en 12 meses </t>
  </si>
  <si>
    <t>Ing. Ximena Aguirre</t>
  </si>
  <si>
    <t>Fortalecimiento del sector apícola, elaboración de derivados de la miel de aveja</t>
  </si>
  <si>
    <t>San Pedro de Vilcabamba</t>
  </si>
  <si>
    <t>Escacez de tecnología para la producción de nuevos productos derivados de la miel de abeja</t>
  </si>
  <si>
    <t>Mejorar el proceso de producción de derivados de la miel de abeja</t>
  </si>
  <si>
    <t>fortalecer los conocimientos de los productores de la miel de abeja, para la generación de nuevos productos.              Dotar de equipos e insumos para la producción de nuevos productos derivados de la miel de abeja</t>
  </si>
  <si>
    <t>Incrementar los ingresos, a través de la generación de nuevos productos derivados de la miel de abeja.</t>
  </si>
  <si>
    <t xml:space="preserve">30 familias  incrementarán en un 30% sus ingresos, por la producción de nuevos derivados de la miel de abeja, en 12 meses </t>
  </si>
  <si>
    <t>Ing. Vicente Ramos</t>
  </si>
  <si>
    <t>Producción y crianza  de pollas finqueras</t>
  </si>
  <si>
    <t>CHANTACO</t>
  </si>
  <si>
    <t>Baja productividad de la crianza del sector avícola</t>
  </si>
  <si>
    <t>Fomentar la crianza de animales menores, mediante el impulso de la producción avícola</t>
  </si>
  <si>
    <t>Tecnificar los procesos de producción avícola      Establecimiento de 100 unidades productivas avícolas en sistema semi intensivo implementado en los diferentes barrios de la parroquia Chantaco</t>
  </si>
  <si>
    <t>Productores de la parroquia Chantaco, garantizan su seguridad alimentaria con productos en mayor calidad y cantidad mediante el impulso avícola</t>
  </si>
  <si>
    <t>A los seis meses de iniciado el proyecto 100 familias de Chantaco contarán con unidades productivas avícolas semitecnificadas</t>
  </si>
  <si>
    <t>100 familias beneficiadas</t>
  </si>
  <si>
    <t>Mejoramiento de la infraestructura productiva y comercialización de la producción solidaria de cobayos</t>
  </si>
  <si>
    <t>Deficientes sistemas de producción y comercialización de cobayos</t>
  </si>
  <si>
    <t>Mejorar la infraestructura física y los canales de comercialización</t>
  </si>
  <si>
    <t>Fortalecimiento organizativo de los productores de cobayos.                      Construcción y adecuación de las unidades productivas de cobayos.                 Mejorar los sistemas de comercialización</t>
  </si>
  <si>
    <t>Mejorar las condiciones socio-económicas de los productores de cobayos de Chantaco</t>
  </si>
  <si>
    <t>A los ocho meses de iniciado el proyecto, se incrementarán  los ingresos de los productores de cobayos en un 30% con el mejoramiento de la productividad y la comercialización.</t>
  </si>
  <si>
    <t>90 productoes de cobayos</t>
  </si>
  <si>
    <t>Ing. Jenny Chamba</t>
  </si>
  <si>
    <t xml:space="preserve">Implementación de un programa de ferias libres </t>
  </si>
  <si>
    <t>CHUQUIRIBAMBA</t>
  </si>
  <si>
    <t>Desorganización en la comercialización de la producción agropecuaria</t>
  </si>
  <si>
    <t>Regular y ordenar los sistemas de comercialización de la feria libre de Chuquiribamba</t>
  </si>
  <si>
    <t>Organización de los productores            Mejorar la presentación en el expendio de los productos                                 Dar valor agregado a la producción que se expende en la feria</t>
  </si>
  <si>
    <t>Incrementar los ingresos de los productores que asisten a la feria libre</t>
  </si>
  <si>
    <t>Al final del proyecto se incrementan los ingresos de los productores en un 15%, por la regularización y orden en los sistemas de comercialización.</t>
  </si>
  <si>
    <t>350 productores agropecuarios</t>
  </si>
  <si>
    <t>Ing. Rosa Merino</t>
  </si>
  <si>
    <t>TURISMO</t>
  </si>
  <si>
    <t>Capacitación de servicios turísticos</t>
  </si>
  <si>
    <t>FORTALECER LAS CAPACIDADES Y HABILIDADES LOCALES QUE PERMITA DESARROLLAR EMPRENDIMIENTOS.</t>
  </si>
  <si>
    <t xml:space="preserve">1.- Capacitar al personal que labora en establecimientos de servicio turísito en temas que permita brindar un servicio de calidad.
2. Capacitar a informadores turísticos para que promocionen a la ciudad y cantón Loja como un atractivo turístico de calidad.
3. Capacitar a grupos anfritiones de las parroquias rurales de las zonas que integran los circuitos turísticos. </t>
  </si>
  <si>
    <t>Promover que los servicios turisticos cumplan con estándares de calidad establecidos</t>
  </si>
  <si>
    <t>50% de establecimientos de servicio turístico han participado en eventos de capacitación organizados por la Unidad de Turismo
*6 eventos de capacitación anuales a informadores turísticos. 
*2 eventos de capacitación al año por cada ruta en las parroquias rurales.</t>
  </si>
  <si>
    <t>5000 beneficiarios</t>
  </si>
  <si>
    <t>DIRECCIÓN DE Gestión Econónica</t>
  </si>
  <si>
    <t>Unidad de Turismo</t>
  </si>
  <si>
    <t>Creación  de circuitos turísticos interparroquiales</t>
  </si>
  <si>
    <t>ZONA 1  TAQUIL, CHANTACO, CHUQUIRIIBAMBA,  GUALEL, EL CISNE.     ZONA 2 MALACATOS, SAN PEDRO, VILCABAMBA QUINARA Y YANGANA.       ZONA 3 JIMBILLA, SANTIAGO, SAN LUCAS.</t>
  </si>
  <si>
    <t xml:space="preserve"> GENERAR OFERTAS INNOVADORAS Y ORIGINALES QUE RESCATE LA RIQUEZA CULTURAL Y TURÍSTICA.</t>
  </si>
  <si>
    <t xml:space="preserve">1.- Promover el ecoturismo sostenible y sustenble sin afectar al medio ambiente.
 2, Dinamizar el Desarrolllo económico  turístico  en las parroquias  rurales, potenciando los grupos anfritiones de cada sector. </t>
  </si>
  <si>
    <t>DESARROLLAR EMPRENDIMIENTOS TURÍSTICOS EN LAS 3 ZONAS DE LOS CIRCUITOS RURALES (………)</t>
  </si>
  <si>
    <t xml:space="preserve">3 Circuitos rurales con personal local capacitado de acuerdo a rutas establecidas 
3 Circuitos rurales promocionando la oferta Ecoturística </t>
  </si>
  <si>
    <t>prestadores de servicios turísticos y habitantes de la zona</t>
  </si>
  <si>
    <t>Tecnicos de la Unidad.</t>
  </si>
  <si>
    <t>15/|2/2015</t>
  </si>
  <si>
    <t>señalización de rutas y atractivos turísticos (miradores urbanos)</t>
  </si>
  <si>
    <t>mirador San Cayetano, Luciernaga, Pedestal, Churo, Peñón del Oeste,y Pucará.</t>
  </si>
  <si>
    <t>MEJORAR LA RUTA DE LOS MIRADORE QUE PERMITA GENERAR EMPRENDIEMIENTOS TURÍSTICOS.</t>
  </si>
  <si>
    <t xml:space="preserve">1.- implementar y mejorar la infraestructura de los miradores urbanos de Loja. </t>
  </si>
  <si>
    <t xml:space="preserve">fortalecer las visitas de la ciudadanía y turistas en general a los miradores. </t>
  </si>
  <si>
    <t xml:space="preserve">100 % de tuirstas que visitan a la ciudad de Loja, conocerán mejor la icudad a traves de miradores. </t>
  </si>
  <si>
    <t>Técnicos de la Unidad de Turismo.</t>
  </si>
  <si>
    <t xml:space="preserve">Difusión y promoción turística </t>
  </si>
  <si>
    <t>Cantón Loja, Región Sur, Principales ciudades del Ecuador y Ciudades del Norte del Perú.</t>
  </si>
  <si>
    <t xml:space="preserve">PROMOCIONAR A LOJA COMO UN DESTINO TURÍSTICO EXQUISITO PARA PROPIOS Y EXTRAÑOS. </t>
  </si>
  <si>
    <t>1.-Diseño, impresión y difusión de material  promocional.</t>
  </si>
  <si>
    <t xml:space="preserve">Hacer conocer a Loja como cobertura Nacional como un destino turístico por excelencia. </t>
  </si>
  <si>
    <t>20.000 ejemplares impresos a las diferentes centros de información turística a nivel nacional más instituciones relacionadas con el turismo.</t>
  </si>
  <si>
    <t>70% de cobeertura Nacional.</t>
  </si>
  <si>
    <t>implementación de espacios adecuados para la  distribución de productos  turísticos  (mercado artesanal)</t>
  </si>
  <si>
    <t xml:space="preserve">Vilcabamba, Loja, Taquil. </t>
  </si>
  <si>
    <t>GENERAR OFERTAS INNOVADORAS Y ORIGINALES QUE RESCATE LA RIQUEZA CULTURAL Y TURÍSTICA</t>
  </si>
  <si>
    <t>1. Implementación de mercados artesanales y turísticos.</t>
  </si>
  <si>
    <t>Ofrecer productos artesanales que promuevan el turismo local a nivel Nacional.</t>
  </si>
  <si>
    <t xml:space="preserve">fomento de 3 mercados artesanales turísticos en la ciudad y cantón Loja. </t>
  </si>
  <si>
    <t>habitantes del cantón Loja.</t>
  </si>
  <si>
    <t xml:space="preserve">obras de infraestructura turística: Centros de facilitación turistica. </t>
  </si>
  <si>
    <t>Parque Jipiro, Parque Orillas del Zamora</t>
  </si>
  <si>
    <t>GARANTIZAR ESPACIOS ACONDICIONADOS ADECUADAMENTE PARA ACOGER A TURISTAS</t>
  </si>
  <si>
    <t>1.- Diseño y construcción de Centros de Información Turística.</t>
  </si>
  <si>
    <t>Ofrecer sevicios de calidad difundiendo las potencialidades turísticas de nuestro cantón por medio de Centros de Información Turística debidamente adecuados.</t>
  </si>
  <si>
    <t>100% de quienes visiten los Centros de Facilitación turistica municipales obtendran un servicio de calidad en cuanto a información se refiere.</t>
  </si>
  <si>
    <t>ciudadania y personas que visiten el Centro de facilitación turística</t>
  </si>
  <si>
    <t>20 de agosto de 2015</t>
  </si>
  <si>
    <t>Iluminación de plazas y parques</t>
  </si>
  <si>
    <t>REPONTECIAR LOS PRINCIPALES ATRACTIVOS DE LA CIUDAD</t>
  </si>
  <si>
    <t>1, Identificar las plazas y parques de la ciudad; 2, Elaboración de Proyecto; 3. Gestión para financiamiento privado</t>
  </si>
  <si>
    <t>intervenir de forma innovadora en los principales atractivos turísticos de la ciudad- (finales del 2015 las principales plazas y parques han sido intervenidos de forma innovadora)</t>
  </si>
  <si>
    <t xml:space="preserve">para finales del 2015;  3 de las principales plazas o parques  de la ciudad han sido intervenidas con ilumjnaciòn led. </t>
  </si>
  <si>
    <t>100% de la ciudadanía</t>
  </si>
  <si>
    <t>Teleférico</t>
  </si>
  <si>
    <t>creación de unnuevo atractivo turístico en la ciudad de Loja</t>
  </si>
  <si>
    <t xml:space="preserve">Culminación de obra civil implementación de la parte mecánica, adecuación de senderos  y áreas verdes. </t>
  </si>
  <si>
    <t>contar con un atrativo turistico</t>
  </si>
  <si>
    <t>en el lapso de 6 meses se contara con un teleferico operando en el parque pucara.</t>
  </si>
  <si>
    <t>cantón  Loja, Zamora, El Oro, Azuay</t>
  </si>
  <si>
    <t>TEcnicos de la Unidad.</t>
  </si>
  <si>
    <t xml:space="preserve"> DE JUNIO DE 2015</t>
  </si>
  <si>
    <t>GESTION DE AVALUOS Y CATASTROS</t>
  </si>
  <si>
    <t>ACTUALIZACIÓN DEL CATASTRO DE LA CIUDAD DE LOJA Y AREAS URBANAS DE LAS PARROQUIAS DEL CANTON LOJA</t>
  </si>
  <si>
    <t>Cantón  de Loja</t>
  </si>
  <si>
    <t>Actualizar el catastro urbano tanto de la ciudad de Loja  como el área urbana de las parroquias</t>
  </si>
  <si>
    <t>Actualizar construcciones nuevas, actualizar nombres de propietarios  actualizar claves  catastrales  actualizar áreas de predios</t>
  </si>
  <si>
    <t>Recaudar impuestos de acuerdo a la realidad predial.</t>
  </si>
  <si>
    <t>Actualizar el 100% del catastro en 12 meses de ejecución.</t>
  </si>
  <si>
    <t>Contribuyentes del Cantón Loja</t>
  </si>
  <si>
    <t xml:space="preserve"> -   </t>
  </si>
  <si>
    <t>Gestión de Avaluos y Catastros</t>
  </si>
  <si>
    <t>Arq. Fabián Gallegos</t>
  </si>
  <si>
    <t>01/31/11/2015</t>
  </si>
  <si>
    <t xml:space="preserve">D= Directa
</t>
  </si>
  <si>
    <t>DIRECCIÓN DE PROTECCIÓN SOCIAL</t>
  </si>
  <si>
    <t>Adecuación del CIBV "San Sebastián"</t>
  </si>
  <si>
    <t>40%  de cobertura  de infraestructura  en buen estado</t>
  </si>
  <si>
    <t>Mejorar la infraestructura para brindar una  atención de calidad y calidéz a niños/as</t>
  </si>
  <si>
    <t>Adecuar los espacios físicos para mejor desarrollo en los niños y niñas</t>
  </si>
  <si>
    <t>Mejorar la infraestructura  del Centro Infantil  Mercado San Sebastián en un 80%</t>
  </si>
  <si>
    <t>100%  de la infraestructura será incrementada en cuatro meses.</t>
  </si>
  <si>
    <t>40 NIÑOS Y NIÑAS</t>
  </si>
  <si>
    <t>Dirección de Protección Social</t>
  </si>
  <si>
    <t>Centro Infantil  Mercado San Sebastián</t>
  </si>
  <si>
    <t>Lic. Paulina Vivanco</t>
  </si>
  <si>
    <t xml:space="preserve">Remodelacion y Adecuacion del Cibv "Las Pitas " </t>
  </si>
  <si>
    <t>30%  de cobertura de infraestructura  en buen estado</t>
  </si>
  <si>
    <t xml:space="preserve">Mejorar la infraestructura del Centro Infantil Municipal Las pitas </t>
  </si>
  <si>
    <t>Mejorar la infraestructura  del Centro Infantil  Mercado Las Pitas en un 80%</t>
  </si>
  <si>
    <t>Centro Infantil  Mercado Las Pitas</t>
  </si>
  <si>
    <t>Lic. Graciela</t>
  </si>
  <si>
    <t xml:space="preserve">Remodelación de la  Dirección de Protección Social </t>
  </si>
  <si>
    <t>20% cobertura de infraestructura en buen estado</t>
  </si>
  <si>
    <t>Mejorar la infraestructura de la Dirección para brindar un servicio de calidad y calidéz a la ciudadanía</t>
  </si>
  <si>
    <t>Adecuar espacios físicos acogedores para mejor el servicio a la ciudadanía</t>
  </si>
  <si>
    <t>Mejorar  la infraestructura de la Dirección  de Protección Social en  un 80%</t>
  </si>
  <si>
    <t>40% de la infraestructura será incrementado tres meses</t>
  </si>
  <si>
    <t>35 empleados (as) municipales</t>
  </si>
  <si>
    <t xml:space="preserve">DIRECION  DE PROTECCION SOCIAL </t>
  </si>
  <si>
    <t>Administración Central</t>
  </si>
  <si>
    <t>Lic. Azucena Bravo</t>
  </si>
  <si>
    <t>Cerramiento y mejoramiento  de la infraestructura del centro Hogar Renacer</t>
  </si>
  <si>
    <t>70% cobertura de infraestructura</t>
  </si>
  <si>
    <t xml:space="preserve">Mejorar las medidas de seguridad y la infraestructura  del centro </t>
  </si>
  <si>
    <t xml:space="preserve">Levantar el cerramiento  y mejorar la infraestructura existente espacios </t>
  </si>
  <si>
    <t>Mejorar  las medidas de seguridad del centro en un  100%</t>
  </si>
  <si>
    <t>70% de la infraestructura será ampliada en 2 meses</t>
  </si>
  <si>
    <t>20 usuarios</t>
  </si>
  <si>
    <t>Centro Hogar Renacer</t>
  </si>
  <si>
    <t>Lic. Maria Vera</t>
  </si>
  <si>
    <t>31/04/2015</t>
  </si>
  <si>
    <t>Diseño Arquitectonico  para la remodelación del Centro Materno Infantil Municipal</t>
  </si>
  <si>
    <t>32185 pacientes atendidos  por el Centro Materno Infantil Municipal a través de sus diferentes áreas en el año 2013</t>
  </si>
  <si>
    <t>Mejorar la atención en salud de los pacientes que acuden al Centro Materno Infantil Municipal</t>
  </si>
  <si>
    <t>Remodelar el nuevo edificio del Centro Materno Infantil Municipal en base a especificaciones técnicas que permitan garantizar una calidad de atención.</t>
  </si>
  <si>
    <t xml:space="preserve">Contar con el diseño arquitectónico de la remodelación del Centro Materno Infantil Municipal </t>
  </si>
  <si>
    <t>Para el año 2015 se contará con el diseño arquitectonico para la remodelación del  Centro Materno Infantil Municipal</t>
  </si>
  <si>
    <t>32185 beneficiarios</t>
  </si>
  <si>
    <t>Centro Materno Infantil</t>
  </si>
  <si>
    <t>Dra. Amparito Bedoya</t>
  </si>
  <si>
    <t>Campamentos Vacacionales</t>
  </si>
  <si>
    <t>5%  de realización de eventos de ésta tipo</t>
  </si>
  <si>
    <t xml:space="preserve">Organizar y ejecutar el campamento vacacional en la parroquia Chantaco, con la finalidad de que los niños, niñas y adolescentes ocupen su tiempo libre en actividades productivas. </t>
  </si>
  <si>
    <t>Integrar a los niños, niñas y adolescentes a través del Campamento para desarrollar relaciones interpersonales.</t>
  </si>
  <si>
    <t>Alcanzar que los 100 niños, niñas y adolescentes desarrollen habilidades y destrezas interpersonales.</t>
  </si>
  <si>
    <t>100%  del campamento será ejecutado  en 1 mes.</t>
  </si>
  <si>
    <t>100 NIÑOS Y NIÑAS</t>
  </si>
  <si>
    <t>Departamento de Promoción Social</t>
  </si>
  <si>
    <t>Lic. Martha Pezantes</t>
  </si>
  <si>
    <t>AdministraciónDirecta</t>
  </si>
  <si>
    <t>INFORMATICA</t>
  </si>
  <si>
    <t>Seguridad Perimetral del Municipio de Loja</t>
  </si>
  <si>
    <t>No existe</t>
  </si>
  <si>
    <t>Mejorar la seguridad perimetral del Municipio de Loja</t>
  </si>
  <si>
    <t>Llevar un mejor monitero de los servicios que tiene el Municipio de Loja
Asegurar una mejora aprovisionamiento de Internet a cada una de los usuarios de la unidades municipales</t>
  </si>
  <si>
    <t xml:space="preserve">
</t>
  </si>
  <si>
    <t>Informática</t>
  </si>
  <si>
    <t>Mónica Jaramillo</t>
  </si>
  <si>
    <t>Consultoría de Mejoramiento de Procesos Informáticos</t>
  </si>
  <si>
    <t>Desarrollar los estudios para el Mejoramiento de los Procesos Informáticos</t>
  </si>
  <si>
    <t>Conocer los procesos necesarios de cada unos de las áreas del Municipio que requieren ser mejorados y/o Automatizados.</t>
  </si>
  <si>
    <t>Richard Armijos</t>
  </si>
  <si>
    <t>OBRAS PÚBLICAS</t>
  </si>
  <si>
    <t>Plan Vial de la Ciudad de Loja</t>
  </si>
  <si>
    <t>No existe un Plan Vial de la Ciudad de Loja</t>
  </si>
  <si>
    <t>Contar con un instrumento que permita ejecutar la vialidad cantonal de manera planificada</t>
  </si>
  <si>
    <t>Elaborar el Plan Vial de la Ciudad de Loja</t>
  </si>
  <si>
    <t xml:space="preserve">A final del 2015 se contara con un  documento tecnico aprobado que permita la ejecucion vial planificada </t>
  </si>
  <si>
    <t>Dirección de Obras públicas</t>
  </si>
  <si>
    <t>Vialidad</t>
  </si>
  <si>
    <t>Adoquinado De Calles</t>
  </si>
  <si>
    <t>Existe un porcentaje de 5 % promedio de vias por adoquinar en la Ciudad de Loja</t>
  </si>
  <si>
    <t>Mejorar las vias urbanas a nivel de adoquinado</t>
  </si>
  <si>
    <t>Adoquinar 2700 m2 de via</t>
  </si>
  <si>
    <t>30 m2 por día de adoquinado</t>
  </si>
  <si>
    <t>Bacheo</t>
  </si>
  <si>
    <t>Existe un porcentaje de 30 % promedio de bacheo por area asfaltalda antigua en la Ciudad de Loja</t>
  </si>
  <si>
    <t>Incrementar el periodo de vida util del pavimento antiguo</t>
  </si>
  <si>
    <t>Bachear 45 000 m2 de via</t>
  </si>
  <si>
    <t>225 m2 por dia de bacheo</t>
  </si>
  <si>
    <t>Lastrado De Calles</t>
  </si>
  <si>
    <t>Existe un porcentaje de 50 % promedio de vias sin asfaltar en la Ciudad de Loja</t>
  </si>
  <si>
    <t xml:space="preserve">Mantener transitabilidad de las vias </t>
  </si>
  <si>
    <t>Lastrar 10000 m3 de via</t>
  </si>
  <si>
    <t>88 m2 por dia de lastrado</t>
  </si>
  <si>
    <t>Pavimentación</t>
  </si>
  <si>
    <t>Mejorar las vias urbanas a nivel de pavimento.</t>
  </si>
  <si>
    <t>Pavimentar 95000 m2 de via</t>
  </si>
  <si>
    <t>100 m2 por día de pavimentacion</t>
  </si>
  <si>
    <t>C-D</t>
  </si>
  <si>
    <t>Construcción De Alcantarillas</t>
  </si>
  <si>
    <t xml:space="preserve">Existe deficit de sitios destinados a escombreras en la Ciudad de Loja </t>
  </si>
  <si>
    <t xml:space="preserve">Incrementar areas destinadas a escombreras </t>
  </si>
  <si>
    <t>Construccion de 100 ml alcantarilla ( obra base escombrera)</t>
  </si>
  <si>
    <t>50 ml por mes de alcantarilla</t>
  </si>
  <si>
    <t>Recapeo De Calles</t>
  </si>
  <si>
    <t>Existe un porcentaje de 50 % promedio de vias por recapear en la Ciudad de Loja</t>
  </si>
  <si>
    <t>Incrementar el periodo de vida util del pavimento</t>
  </si>
  <si>
    <t>Recapear 350000 m2 de via</t>
  </si>
  <si>
    <t>1000 m2 por día de recapeo</t>
  </si>
  <si>
    <t>Mantenimiento rutinario de vias</t>
  </si>
  <si>
    <t>Existe un porcentaje de 20 % promedio de vias lastradas por mantener en la Ciudad de Loja</t>
  </si>
  <si>
    <t>Mantener 10000 m2 de via</t>
  </si>
  <si>
    <t>200 m2 por dia de mantenimiento</t>
  </si>
  <si>
    <t>Programa De Manejo Y Control De Riesgos</t>
  </si>
  <si>
    <t>Existe un porcentaje del 1OO %  zonas afectadas por eventos adversos sin obras de mitigacion en la Ciudad de Loja</t>
  </si>
  <si>
    <t>Mitigacion y control del riesgo  de zonas afectadas</t>
  </si>
  <si>
    <t xml:space="preserve">Atender el 25 % de zonas afectadas </t>
  </si>
  <si>
    <t>Se intervendra en 4 de las 15 zonas afectadas</t>
  </si>
  <si>
    <t>Costruccion de obras de proteccion de Rios</t>
  </si>
  <si>
    <t>Existe un porcentaje del 1OO % de obras de proteccion de rios por ejecutar en a Ciudad de Loja</t>
  </si>
  <si>
    <t>Proteger margenes de rios de la Ciudad de Loja</t>
  </si>
  <si>
    <t xml:space="preserve">Atender el 50 % de zonas afectadas </t>
  </si>
  <si>
    <t>Atender el 50 % de zonas afectadas</t>
  </si>
  <si>
    <t>Se intervendra en 8 de las 16 zonas afectadas</t>
  </si>
  <si>
    <t>Infraestructura</t>
  </si>
  <si>
    <t>Costruccion de obras de proteccion de quebradas</t>
  </si>
  <si>
    <t>Existe un porcentaje del 1OO % de obras de proteccion de quebradas por ejecutar en a Ciudad de Loja</t>
  </si>
  <si>
    <t>Proteger margenes de quebradas de la Ciudad de Loja</t>
  </si>
  <si>
    <t xml:space="preserve">Atender el 20 % de zonas afectadas </t>
  </si>
  <si>
    <t>Se intervendra en 4 de las 20 zonas afectadas</t>
  </si>
  <si>
    <t>Vialidad Rural</t>
  </si>
  <si>
    <t>Varias parroquias rurales del Canton Loja</t>
  </si>
  <si>
    <t>Existe deficit de atencion en la vialidad rural del Canton Loja</t>
  </si>
  <si>
    <t>Mejorar la vialidad rural del Canton Loja</t>
  </si>
  <si>
    <t xml:space="preserve">Atender el 100 % de las necesidades identificadas por las parroquias rurales </t>
  </si>
  <si>
    <t>Se intervendra en 2 de las 2 necesidades priorizadas.</t>
  </si>
  <si>
    <t>Infraestructura Rural</t>
  </si>
  <si>
    <t>Existe deficit de atencion en la infraestructura rural del Canton Loja</t>
  </si>
  <si>
    <t>Mejorar la infrastructura rural del Canton Loja</t>
  </si>
  <si>
    <t>Se intervendra en 8 de las 8 necesidades priorizadas.</t>
  </si>
  <si>
    <t>Gestión De Riesgos Rural</t>
  </si>
  <si>
    <t>Existe deficit de atencion en las zonas rurales del Canton Loja afectadas por eventos adversos</t>
  </si>
  <si>
    <t>GESTIÓN DE PLANIFICACIÓN</t>
  </si>
  <si>
    <t>Actualización del Plan de Desarrollo y Ordenamiento Territorial</t>
  </si>
  <si>
    <t>CANTÓN LOJA</t>
  </si>
  <si>
    <t>Se cuenta con un PDyOT aprobado, se debe actualizar según COOTAD al inicio de nueva administración de los GADs.</t>
  </si>
  <si>
    <t>Actualizar el PDyOT existente</t>
  </si>
  <si>
    <t>Actualizar el diagnóstico, propuesta y modelo de gestión del PDyOT; Contar con un documento aprobado para su publicación y difusión</t>
  </si>
  <si>
    <t>Contar con un PDyOT actualizado y aprobado</t>
  </si>
  <si>
    <t xml:space="preserve">PDyOT actualizado hasta el mes de marzo del 2015 </t>
  </si>
  <si>
    <t>GESTIÓN DE DESARROLLO LOCAL Y PROYECTOS</t>
  </si>
  <si>
    <t xml:space="preserve">Arq. Nuvia Ramírez </t>
  </si>
  <si>
    <t>Se  trabajará con equipo técnico municipal y contratación</t>
  </si>
  <si>
    <t>Contraparte para catastro rural del canton Loja</t>
  </si>
  <si>
    <t>Se mantiene un convenio para levantamiento predial rural con SIGTIERRAS- MAGAP</t>
  </si>
  <si>
    <t>Cumplir con el Plan de Desarrollo, con el COOTAD y convenios institucionales</t>
  </si>
  <si>
    <t>GESTIÓN DE AVALÚOS Y CATASTROS</t>
  </si>
  <si>
    <t>Arq. Franklin Cisneros</t>
  </si>
  <si>
    <t>Estudios complementarios para operación del Teleférico Pucará</t>
  </si>
  <si>
    <t>CIUDAD DE LOJA</t>
  </si>
  <si>
    <t>Proyecto emblematico</t>
  </si>
  <si>
    <t>GESTIÓN DE DESCENTRALIZACIÓN Y PLANEAMIENTO TERRITORIAL</t>
  </si>
  <si>
    <t>Arq. Miken Aguirre</t>
  </si>
  <si>
    <t>Estudios complementarios para ampliación del Zoológico Municipal</t>
  </si>
  <si>
    <t>Estudios complementarios para el PUENTE 1 RIO ZAMORA (Sector oriental)</t>
  </si>
  <si>
    <t>Infraestructura civil, proyectos de mejoramiento del sistema vial urbano interconectado</t>
  </si>
  <si>
    <t>Arq. Jorge Duarte</t>
  </si>
  <si>
    <t>Estudios complementarios para el PUENTE  2 RIO ZAMORA (Sector nor oriental)</t>
  </si>
  <si>
    <t>Arq. Jaime Maldonado</t>
  </si>
  <si>
    <t>Construcción de puentes</t>
  </si>
  <si>
    <t>Ing.  Jorge Duarte</t>
  </si>
  <si>
    <t>D/C</t>
  </si>
  <si>
    <t>Implememtación de Proyectos Comunitarios</t>
  </si>
  <si>
    <t>Proyectos de desarrollo comunitario, dentro del presupuesto de inversion anual</t>
  </si>
  <si>
    <t>Ing.  Jorge Duarte, Arq. Claudia Celi, Arq, Mayken Aguirre, Ing. Honmero Tandazo, Arq. Johana Castillo, Arq. Mercedes Torres, Ing. Paola Narvaez, Ing. Azucena Aguilar, Ing. Jaime Maldonado</t>
  </si>
  <si>
    <t xml:space="preserve">Estudios definitos para la regeneración del Parque Central </t>
  </si>
  <si>
    <t>PARROQUIA MALACATOS</t>
  </si>
  <si>
    <t>Proyectos de desarrollo comunitario, dentro del presupuesto de inversion anual. Apoyo a las parroquias rurales del canton para el desarrollo del area rural y la sociedad.</t>
  </si>
  <si>
    <t>GESTION DE PATRIMONIO CULTURAL Y CENTRO HISTORICO</t>
  </si>
  <si>
    <t>Arq. Galo Sarango</t>
  </si>
  <si>
    <t>Estudios definitos del minicoliseo</t>
  </si>
  <si>
    <t>PARROQUIA JIMBILLA</t>
  </si>
  <si>
    <t>Arq. Fernando Cardenas</t>
  </si>
  <si>
    <t>Estudios definitos para el mejoramiento del Parque Central</t>
  </si>
  <si>
    <t>PARROQUIA SAN PEDRO DE VILCABAMBA</t>
  </si>
  <si>
    <t>Arq. Galo Caraguay</t>
  </si>
  <si>
    <t xml:space="preserve">Estudios para la construcción del Centrol Comercial </t>
  </si>
  <si>
    <t>PARROQUIA EL CISNE</t>
  </si>
  <si>
    <t>Arq. Anita Maldonado</t>
  </si>
  <si>
    <t>Estudios para la ampliación del Mercado Municipal</t>
  </si>
  <si>
    <t>Arq. Galina Segarra</t>
  </si>
  <si>
    <t>Estudios para la construcción del Camal Municipal</t>
  </si>
  <si>
    <t>Estudios para la construcción del Terminal Terrestre</t>
  </si>
  <si>
    <t>Estudios para la construcción del Parque Recreacional</t>
  </si>
  <si>
    <t>Intervención del Coliseo de Deportes 1. Etapa</t>
  </si>
  <si>
    <t>PARROQUIA QUINARA</t>
  </si>
  <si>
    <t>Estudios y diseños del Parque Infantil de Cocheturo</t>
  </si>
  <si>
    <t>PARROQUIA CHUQUIRIBAMBA</t>
  </si>
  <si>
    <t>Rehabilitación de la Cubierta de la Casa Comunal del barrio El Carmelo</t>
  </si>
  <si>
    <t>UMAPAL</t>
  </si>
  <si>
    <t>Construcción de colectores y descargas de alcantarillado sanitario y pluvial en la ciudad de Loja</t>
  </si>
  <si>
    <t>Inexistencia de colectores pluviales y sanitarios para la franja noroccidental de la ciudad</t>
  </si>
  <si>
    <t>Evitar inundaciones y contaminación de los cursos de agua existentes en los sectores noroccidentales</t>
  </si>
  <si>
    <t>Evitar inundaciones en el barrio Sauces Norte y Urb. La Banda.
Disminuir la contaminación del río Zamora, generada por las descargas de aguas servidas del sector Nor occidental.</t>
  </si>
  <si>
    <t>Cubrir en un 10% el requerimiento de recolección de aguas servidas de los sectores Noroccidentales y solucionar en un 100% los problemas de inundación por aguas lluvias en el sector de Sauces Norte.</t>
  </si>
  <si>
    <t>Hasta fines del año 2015 se disminuirá en un 7% el nivel de contaminación del río Zamora.
Al final del año 2015, el sector de Sauces Norte está protegido contra inundaciones por efectos de lluvias.</t>
  </si>
  <si>
    <t>8000 habitantes beneficiados</t>
  </si>
  <si>
    <t>Alcantarillado</t>
  </si>
  <si>
    <t>Ing. Miltón Mejia</t>
  </si>
  <si>
    <t>Intervención en conducción de El Carmen</t>
  </si>
  <si>
    <t>Tramo de alta vulnerabilidad en el cruce con la quebrada El Carmen, aproximadamente en la abscisa 0+500</t>
  </si>
  <si>
    <t>Garantizar el suministro de agua cruda a través de la línea de conducción del sistema.</t>
  </si>
  <si>
    <t xml:space="preserve">Eliminar las horas hombre empleadas en el mantenimiento periodico del paso subfluvial
Disminuir el número de daños que se presentan en esta línea de conducción.                                                                                                                                                                                                                                                                                                                                                                                                                                                                                                                                                                                                                                                                                                                                                                                                                                                                                                                                                                                                                                                                                                                                                                                                                                                 </t>
  </si>
  <si>
    <t>Eliminar definitivamente punto vulnerable de la línea de conducción de agua cruda</t>
  </si>
  <si>
    <t>Luego del segundo semestre del año 2015, los índices de daños en la conducción de El Carmen-San Simón, disminuyen en un 10%.</t>
  </si>
  <si>
    <t>25000 habitantes beneficiados</t>
  </si>
  <si>
    <t>Agua Potable</t>
  </si>
  <si>
    <t>Ing. Angel cartuche</t>
  </si>
  <si>
    <t>31/072015</t>
  </si>
  <si>
    <t>Pintura exterior en Plantas de Tratamiento</t>
  </si>
  <si>
    <t>Mal aspecto de unidades de tratamiento de agua</t>
  </si>
  <si>
    <t>Mejorar la imagen de las Plantas de Tratamiento de la ciudad</t>
  </si>
  <si>
    <t xml:space="preserve">Extender la vida útil de la infraestructura instalada
Mejorar la imagen institucional ante la ciudadanía.                                                                                                                                                                                                                                                                                                                                                                                                                                                                                                                                                                                                                                                                                                                                                                                                                                                                                                                                                                                                                                                                                                                                                                                                                                                  </t>
  </si>
  <si>
    <t>Plantas de tratamiento Pucará y Curitroje-Chontacruz adecuadamente adecentadas.</t>
  </si>
  <si>
    <t>Dos plantas de tratamiento de agua potable debidamente mantenidas y pintadas a fines del año 2015.</t>
  </si>
  <si>
    <t>30000 habitantes beneficiados</t>
  </si>
  <si>
    <t>estos proyectos se eliminan y se destinan a adquisición de planta de tratamiento compacta de aguas residuales para vilcabamba</t>
  </si>
  <si>
    <t>Cerramientos para estación de bombeo y unidades de reserva en la ciudad de Loja</t>
  </si>
  <si>
    <t>Unidades de reserva sin cerramiento, ni seguridad.
Cerramiento de estación de bombeo deteriorada.</t>
  </si>
  <si>
    <t xml:space="preserve">Generar una protección adecuada a Estación de bombeo y unidades de reserva  </t>
  </si>
  <si>
    <t xml:space="preserve">Garantizar la seguridad de las unidades de reserva
Implantar un plan de monitoreo e inspección regular.
Mejorar la imagen institucional ante la ciudadanía                                                                                                                                                                                                                                                                                                                                                                                                                                                                                                                                                                                                                                                                                                                                                                                                                                                                                                                                                                                                                                                                                                                                                                                                                                            </t>
  </si>
  <si>
    <t>Incrementar en un 20% la seguridad de las unidades de reserva y bombeo.</t>
  </si>
  <si>
    <t xml:space="preserve">A partir del 2016, 1 estación de bombeo y tres unidades de reserva debidamente aseguradas </t>
  </si>
  <si>
    <t>6000 habitantes beneficiados</t>
  </si>
  <si>
    <t>Mejoramiento de los sistemas de agua potable de la parroquia Malacatos</t>
  </si>
  <si>
    <t>MALACATOS</t>
  </si>
  <si>
    <t>SAP trabajando en condiciones aceptables en un 80%</t>
  </si>
  <si>
    <t>Mejorar SAP de Malacatos</t>
  </si>
  <si>
    <t>Mejorar la calidad del agua
Ampliar la cobertura del servicio
Brindar un servicio continuo de agua potable.</t>
  </si>
  <si>
    <t>Sistema de agua rehabilitado operado y mantenido y produciendo agua apta para consumo humano a partir del 2016</t>
  </si>
  <si>
    <t>90% de muestras de agua cumplen parámetros de calidad, luego de la ejecución del proyecto.</t>
  </si>
  <si>
    <t>7.000,00 habitantes beneficiados</t>
  </si>
  <si>
    <t>Ing. Ángel Cartuche Z.</t>
  </si>
  <si>
    <t>Estudios definitivos para la contrucción del alcantarillado en la Av. Loja, Taxiche, Trinidad (Colegio) y conexión Saguaynuma, Belen y Ceibopamba de la parroquia Malacatos.</t>
  </si>
  <si>
    <t>Sectores periféricos de la parroquia con cobertura de alcantarillado en un 30%</t>
  </si>
  <si>
    <t>Contar con un proyecto para la ampliación del alcantarillado de la  parroquia</t>
  </si>
  <si>
    <t>Contar con diseños definitivos y planos para construcción de redes de alcantarillado.
Definir áreas de intervención en función de una planificación técnica</t>
  </si>
  <si>
    <t>Contar con estudios y diseños definitivos para la planificación de construcción de redes de alcantarillado en la parroquia Malacatos.</t>
  </si>
  <si>
    <t>En el segundo semestre de 2015 se cuenta con estudios y diseños aprobados para la construcción de redes de alcantarillado en la parroquia Malacatos</t>
  </si>
  <si>
    <t>1.500 habitantes beneficiados</t>
  </si>
  <si>
    <t>Ing. Milton Mejía</t>
  </si>
  <si>
    <t>Construcción de la segunda etapa del sistema de agua potable para consumo humano en la parroquia Jimbilla</t>
  </si>
  <si>
    <t>JIMBILLA</t>
  </si>
  <si>
    <t>80% de cobertura del servicio de agua potable en la parroquia</t>
  </si>
  <si>
    <t>Mejorar la calidad de vida y salud de los habitantes pertenecientes a los barrios aledaños a la parroquia Jimbilla</t>
  </si>
  <si>
    <t>Dotar del servicio de agua potable a los barrios aledaños de la parroquia Jimbilla</t>
  </si>
  <si>
    <t>Dar cobertura 100% de agua potable a los barrios San Vicente y Montecristi.</t>
  </si>
  <si>
    <t>Hasta fines del año 2015 se disminuirá en un 90% las enfermedades de origen hídrico en los moradores de los barrios San Vicente, Montecristi y San Juan</t>
  </si>
  <si>
    <t>285 habitantes beneficiados</t>
  </si>
  <si>
    <t>Ing. Angel Cartuche</t>
  </si>
  <si>
    <t>Estudios y diseños definitivos del sistema de Agua Potable de los barrios: San Isidro, San Vicente, Montecristi, San Juan de las Palmeras y la Chonta de la Parroquia Jimbilla.</t>
  </si>
  <si>
    <t>Inexistencia del servicio de agua potable en los barrios rurales San Isidro, San Juan de las Palmeras y La Chonta</t>
  </si>
  <si>
    <t>Obtener los estudios definitivos de agua potable para mejorar la calidad de vida y salud de los habitantes de los barrios San Isidro, San Juan de las Palmeras y La Chonta de la Parroquia Jimbilla</t>
  </si>
  <si>
    <t>Contar con los estudios definitivos y permisos de terrenos donde se va a implantar las obras del proyecto, así como los permisos ambientales.</t>
  </si>
  <si>
    <t>Contar con diseños definitivos para la construcción de los sistemas que permitan dar cobertura 100% de agua potable a los barrios San Isidro, San Juan de las Palmeras y La Chonta de la Parroquia Jimbilla</t>
  </si>
  <si>
    <t xml:space="preserve">Hasta la mitad del año 2015 se contará con los estudios definitivos de agua potable aprobados para planificar su inmediata ejecución.
</t>
  </si>
  <si>
    <t>450 habitantes beneficiados</t>
  </si>
  <si>
    <t>Construcción de la segunda etapa del sistema de Agua Potable de la Parroquia San Lucas (Centro Parroquial - Barrio Ciudadela).</t>
  </si>
  <si>
    <t>SAN LUCAS</t>
  </si>
  <si>
    <t>Inexistencia del servicio de agua potable en el barrio ciudadela de la Parroquia San Lucas</t>
  </si>
  <si>
    <t>Mejorar la calidad de vida y salud de los habitantes pertenecientes al barrio Ciudadela de la Parroquia San Lucas</t>
  </si>
  <si>
    <t>Dotar del servicio de agua potable al barrios Ciudadela de la Parroquia San Lucas</t>
  </si>
  <si>
    <t>Dar cobertura 100% de agua potable al barrio Ciudadela de la Parroquia San Lucas</t>
  </si>
  <si>
    <t>Hasta fines del año 2015 se disminuirá en un 90% las enfermedades de origen hídrico en los moradores del barrio Ciudadela</t>
  </si>
  <si>
    <t>126 habitantes beneficiados</t>
  </si>
  <si>
    <t>Estudios definitivos para la construcción del Sistema de Alcantarillado del Barrio Pichik</t>
  </si>
  <si>
    <t>Inexistencia del servicio de alcantarillado sanitario en el barrio Pichik de la Parroquia San Lucas</t>
  </si>
  <si>
    <t>Obtener los estudios definitivos de alcantarillado sanitario para mejorar la salubridad de los habitantes del barrio Pichik de la Parroquia San Lucas</t>
  </si>
  <si>
    <t>Dotar del servicio de alcantarillado sanitario al barrio Pichik de la Parroquia San Lucas</t>
  </si>
  <si>
    <t>Dar cobertura 100% de saneamiento ambiental al barrio Pichik de la Parroquia San Lucas</t>
  </si>
  <si>
    <t xml:space="preserve">Hasta la mitad del año 2015 se contará con los estudios definitivos de alcantarillado sanitario para planificar su inmediata ejecución.
</t>
  </si>
  <si>
    <t>150 habitantes beneficiados</t>
  </si>
  <si>
    <t>Construcción de la segunda etapa del Plan Maestro de agua potable de la parroquia.</t>
  </si>
  <si>
    <t>SANTIAGO</t>
  </si>
  <si>
    <t>Existencia del servicio de agua potable en la cabecera parroquial en un 60%</t>
  </si>
  <si>
    <t>Mejorar la calidad de vida y salud de los habitantes pertenecientes a la cabecera parroquial de Santiago y barrios aledaños</t>
  </si>
  <si>
    <t>Dotar del servicio de agua potable 100% a la cabecera parroquial de Santiago y barrios Aledaños.</t>
  </si>
  <si>
    <t>Dar cobertura 100% de agua potable a la cabecera parroquial de Santiago</t>
  </si>
  <si>
    <t>Hasta fines del año 2015 se disminuirá en un 90% las enfermedades en los moradores dela cabecera parroquial de Santiago
Hasta fines del año 2015 el sistema de agua potable de Santiago funcionará 100% y se realizará el cobro del líquido vital para dar sostenibilidad a dicho sistema.</t>
  </si>
  <si>
    <t>604 habitantes beneficiados</t>
  </si>
  <si>
    <t>Estudios definitivos para la construcción del Sistema de Alcantarillado de los Barrios Manzano, San José, Posín, Gandil, La Chorrera y Aguacate.</t>
  </si>
  <si>
    <t>Inexistencia del servicio de alcantarillado sanitario en los barrios Manzano, San José, Posín, Gandil, La Chorrera y Aguacate de la Parroquia Santiago</t>
  </si>
  <si>
    <t>Obtener los estudios definitivos de alcantarillado sanitario y eliminación sanitaria de excretas para mejorar la salubridad de los habitantes de los barrios Manzano, San José, Posín, Gandil, La Chorrera y Aguacate de la Parroquia Santiago</t>
  </si>
  <si>
    <t>Dotar del servicio de alcantarillado sanitario y eliminación sanitaria de excretas en los barrios Manzano, San José, Posín, Gandil, La Chorrera y Aguacate.</t>
  </si>
  <si>
    <t>Dar cobertura 100% de saneamiento ambiental a los barrios Manzano, San José, posín, gandil, La Chorrera y Aguacate de la Parroquia Santiago</t>
  </si>
  <si>
    <t xml:space="preserve">Hasta la mitad del año 2015 se contará con los estudios definitivos de alcantarillado sanitario y eliminación sanitaria de excretas para planificar su inmediata ejecución.
</t>
  </si>
  <si>
    <t>1080 habitantes beneficiados</t>
  </si>
  <si>
    <t>Primera Etapa del Sistema de Disposición de Aguas Residuales de los Barrios: Minas, Posín y Gandil.</t>
  </si>
  <si>
    <t>Inexistencia del servicio de alcantarillado sanitario en los barrios Minas, Posín y Gandil de la Parroquia Santiago</t>
  </si>
  <si>
    <t>Mejorar la salubridad de los habitantes de los barrios Minas, Posín y Gandil de la Parroquia Santiago</t>
  </si>
  <si>
    <t>Dotar del servicio de alcantarillado sanitario y eliminación sanitaria de excretas en los barrios Minas, Posín y Gandil</t>
  </si>
  <si>
    <t>Cobertura 40% de saneamiento ambiental a los barrios Minas, Posín y Gandil de la Parroquia Santiago</t>
  </si>
  <si>
    <t xml:space="preserve">Hasta la mitad del año 2015 se eliminará la contaminación ambiental en el barrio Minas de la Parroquia Santiago.
</t>
  </si>
  <si>
    <t>300 habitantes beneficiados</t>
  </si>
  <si>
    <t>Estudios definitivos para la construcción del sistema de alcantarillado sanitario de 3 barrios Urbanos: Dorado Alto, Dorado Bajo y vía al colegio.</t>
  </si>
  <si>
    <t>70% de cobertura de alcantarillado sanitario en el área urbana de la parroquia.</t>
  </si>
  <si>
    <t>Contar con un proyecto para la ampliación de redes de alcantarillado sanitario de la  parroquia</t>
  </si>
  <si>
    <t>Contar con los estudios del alcantarillado para ejecutar la obra</t>
  </si>
  <si>
    <t>En el segundo semestre de 2015 se cuenta con estudios y diseños aprobados para la construcción de redes de alcantarillado en barrios urbanos de la parroquia San Pedro de Vilcabamba.</t>
  </si>
  <si>
    <t>50 familias beneficiadas</t>
  </si>
  <si>
    <t>Estudios definitivos para la construcción del sistema de alcantarillado de los barrios rurales: Amala, Cararango, Sacapo y Chaupi.</t>
  </si>
  <si>
    <t>Inexistencia de servico de alcantarillado sanitario en los barrios rurales: Amala, Cararango, Sacapo y Chaupi</t>
  </si>
  <si>
    <t>Contar con proyecto del alcantarillado para los barrios Amala, Cararango, Sacapo y Chaupi de la  parroquia SPV</t>
  </si>
  <si>
    <t>En el segundo semestre de 2015 se cuenta con estudios y diseños aprobados para la construcción de redes de alcantarillado en barrios rurales de la parroquia San Pedro de Vilcabamba.</t>
  </si>
  <si>
    <t>Estudio y diseño del sistema de alcantarillado pluvial de la cabecera parroquial de San Pedro de Vilcabamba.</t>
  </si>
  <si>
    <t>Inexistencia del servicio de alcantarillado pluvial de la cabecera parroquial SPV</t>
  </si>
  <si>
    <t>Contar con el proyecto de alcantarillado pluvial de la cabecera parroquial de SPV</t>
  </si>
  <si>
    <t>Contar con diseños definitivos y planos para construcción de redes de alcantarillado pluvial.
Definir áreas de intervención en función de una planificación técnica</t>
  </si>
  <si>
    <t>Contar con los estudios del alcantarillado pluvial para ejecutar la obra</t>
  </si>
  <si>
    <t>En el segundo semestre de 2015 se cuenta con estudios y diseños aprobados para la construcción de redes de alcantarillado pluvial de la cabecera parroquial de San Pedro de Vilcabamba.</t>
  </si>
  <si>
    <t>80 familias beneficiadas</t>
  </si>
  <si>
    <t>Construcción del sistema de alcantarillado Pluvial del Centro de la parroquia San Pedro de Vilcabamba. Primera Etapa.</t>
  </si>
  <si>
    <t>Inexistencia alcantarillado pluvial en el centro parroquial de SPV</t>
  </si>
  <si>
    <t>Dotar del servicio de alcantarillado pluvial a la parroquia SPV</t>
  </si>
  <si>
    <t>Contar con el emisario de descarga de la red de evacuación de aguas lluvias del centro parroquial de SPV
Disminuir problemas de circulación peatonal y evitar la erosión en las vias del centro parroquial.</t>
  </si>
  <si>
    <t>Contar con la descarga principal del sistema de alcantarillado pluvial de la parroquia SPV</t>
  </si>
  <si>
    <t>A fines del 2015, el 100% de las aguas lluvias de la calle perimetral sector de la Iglesia canalizadas.</t>
  </si>
  <si>
    <t>40 familias beneficiadas</t>
  </si>
  <si>
    <t>Construcción del sistema de alcantarillado sanitario de los barrios rurales Amala, Cararango, Sacapo y Chaupi, primera etapa.</t>
  </si>
  <si>
    <t>Inexistencia alcantarillado Sanitario para los barrios rurales Amala, Cararango, Sacapo y Chaupi</t>
  </si>
  <si>
    <t>Dotar del servicio de alcantarillado para evacuación de las aguas servidas de los barrios rurales priorizados de  SPV</t>
  </si>
  <si>
    <t>Contar con las redes de alcantarillado sanitario de los barrios rurales priorizados de SPV
Dismunuir vectores de contaminación.
Dismunuir la saturación de agua en los suelos de las zonas a intervenirse.</t>
  </si>
  <si>
    <t>Barrios priorizados en la primera etapa de ejecución cuentan con un sistema de alcantarillado en funcionamiento</t>
  </si>
  <si>
    <t>En el 2015, al menos el 90% de las viviendas de los barrios priorizados en la primera etapa cuentan con el servicio de alcantarillado sanitario funcionando adecuadamente</t>
  </si>
  <si>
    <t>Continuación del alcantarillado Pluvial y sanitario de la cabecera parroquial de Chantaco</t>
  </si>
  <si>
    <t>Existencia del servicio de alcantarillado sanitario en un 27% en la cabecera Parroquial de Chantaco</t>
  </si>
  <si>
    <t>Mejorar la salubridad y mitigar las inundaciones en los habitantes de la Cabecera Parroquial de Chantaco</t>
  </si>
  <si>
    <t>Construccion de las redes de alcantarillado sanitario y construcción de red de alcantarillado pluvial con descarga, en la cabecera parroquial de Chantaco.</t>
  </si>
  <si>
    <t>Mejorar las condiciones de saneamiento ambiental incrementando en un 70% la cobertura de alcantarillado sanitario en la cabecera parroquial de Chantaco</t>
  </si>
  <si>
    <t xml:space="preserve">Hasta finales del año 2015 se eliminará la contaminación ambiental en un 70% en Chantaco y control de inundaciones en un 50%
</t>
  </si>
  <si>
    <t>350 habitantes beneficiados</t>
  </si>
  <si>
    <t>Planta de tratamiento de aguas servidas</t>
  </si>
  <si>
    <t>Existencia de tratamiento primario con una fosa colapsada y muy cerca del centro poblado.</t>
  </si>
  <si>
    <t>Mejorar la salubridad y eliminar la contaminación ambiental en los habitantes de la Cabecera Parroquial de Chantaco</t>
  </si>
  <si>
    <t>Construccion de dos plantas de tratamiento de aguas residuales en la parroquia Chantaco</t>
  </si>
  <si>
    <t>Eliminar la contaminación ambiental en la cabecera parroquial de Chantaco</t>
  </si>
  <si>
    <t>Hasta finales del año 2015 el nivel de contaminación ambiental disminuirá en un 70% en Chantaco verificando el funcionamiento de las plantas de tratamiento.</t>
  </si>
  <si>
    <t>681 habitantes beneficiados</t>
  </si>
  <si>
    <t>Diseño de 4 unidades básicas</t>
  </si>
  <si>
    <t>Inexistencia de unidades básicas sanitarias en paradas de transportación pública</t>
  </si>
  <si>
    <t>Mejorar la salubridad y eliminar la contaminación ambiental en los habitantes de barrios de Chantaco</t>
  </si>
  <si>
    <t>Construccion de cuatro unidades básicas sanitarias en la parroquia Chantaco</t>
  </si>
  <si>
    <t>Hasta finales del año 2015 se contará con estudios para 4 unidades básicas sanitarias para la eliminación de excretas.</t>
  </si>
  <si>
    <t>20 habitantes beneficiados</t>
  </si>
  <si>
    <t>Culminación del sistema de agua potable (2da. Etapa)</t>
  </si>
  <si>
    <t>TAQUIL</t>
  </si>
  <si>
    <t>Redes de distribucuión obsoletas</t>
  </si>
  <si>
    <t>Dotar al sistema de agua potable de la parroquia Taquil con nuevas redes de distribución</t>
  </si>
  <si>
    <t>Eliminar pérdidas de agua
Contar con redes de distribución con diámetros adecuados
Ampliar la cobertura del servicio del SAP</t>
  </si>
  <si>
    <t>El 100% del centro parroquial de Taquil contarán con nuevas redes de distribución de agua potable</t>
  </si>
  <si>
    <t>Hasta fines del año 2015, un 90% del centro parroquial de Taquil cuenta con el servicio permanente de agua potable y presiones satisfactorias</t>
  </si>
  <si>
    <t>371 habitantes beneficiados</t>
  </si>
  <si>
    <t>Terminación de última etapa de alcantarillado de Cera.</t>
  </si>
  <si>
    <t>Servicio de alcantarillado sanitario en un 90% en el barrio Cera</t>
  </si>
  <si>
    <t>Concluir el sistema de alcantarillado sanitario del barrio Cera</t>
  </si>
  <si>
    <t>Canalizar todas las aguas servidas a la red de alcantarillado
Mejorar el ornato del barrio
Eliminar vectores</t>
  </si>
  <si>
    <t>Sistema de alcantarillado del barrio Cera concluido</t>
  </si>
  <si>
    <t>Hasta finales del año 2015 el barrio Cera tendrá solucionado el 100% la disposición de aguas servidas.</t>
  </si>
  <si>
    <t>125 habitantes beneficiados</t>
  </si>
  <si>
    <t>Terminación del sistema de alcantarillado de Taquil.</t>
  </si>
  <si>
    <t>Servicio de alcantarillado sanitario en un 75% en la cabecera Parroquial de Taquil</t>
  </si>
  <si>
    <t>Concluir el sistema de alcantarillado sanitario de la cabecera parroquial de Taquil</t>
  </si>
  <si>
    <t>Canalizar todas las aguas servidas a la red de alcantarillado
Mejorar el ornato del centro parroquial
Eliminar vectores</t>
  </si>
  <si>
    <t>Sistema de alcantarillado del centro parroquial de Taquil concluido</t>
  </si>
  <si>
    <t>Hasta finales del año 2015 el centro parroquial de Taquil tendrá solucionado el 100% la disposición de aguas servidas.</t>
  </si>
  <si>
    <t>100 habitantes beneficiados</t>
  </si>
  <si>
    <t>Nueva planta de tratamiento de las aguas servidas de la cabecera parroquial de Taquil</t>
  </si>
  <si>
    <t>Fosa colapsada y muy cerca del centro poblado.</t>
  </si>
  <si>
    <t>Elaborar los estudios definitivos para la implantación de la nueva planta de aguas residuales de la parroquia Taquil</t>
  </si>
  <si>
    <t>Disponer de los diseños definitivos y planos de la nueva planta de tratamiento de aguas residuales
Planificar la adquisición del terreno para ejecutar la obra.</t>
  </si>
  <si>
    <t>Contar con un proyecto a nivel de diseño definitivo para la construcción de la nueva planta de tratamiento de aguas residuales de Taquil</t>
  </si>
  <si>
    <t>Hasta mediados del año 2015 se contará con el estudio definitivo aprobado de la nueva depuradora para planificar su inmediata ejecución.</t>
  </si>
  <si>
    <t>Construcción de la segunda etapa del proyecto de Agua Potable para los barrios: Agua del Milagro, Huasir y Naranjillo</t>
  </si>
  <si>
    <t>EL CISNE</t>
  </si>
  <si>
    <t>Los barrios rurales Agua del Milagro y Naranjillo no cuentan  con el servicio de agua potable.</t>
  </si>
  <si>
    <t>Dotar del servicio de agua potable a los habitantes de los barrios Agua del Milagro y Naranjillo</t>
  </si>
  <si>
    <t>Eliminar enfermedades de origen hídrico
Mejorar las condicones de salubridad</t>
  </si>
  <si>
    <t>Brindar el servicio de agua potable a los barrios Agua del Milagro y Naranjillo</t>
  </si>
  <si>
    <t>A diciembre del año 2015 los barrios Agua del Milagro y Naranjillo contarán con un adecuado servicio de agua potable.</t>
  </si>
  <si>
    <t>478 habitantes beneficiados</t>
  </si>
  <si>
    <t>Construcción de la segunda etapa de alcantarillado barrio Rodeo.</t>
  </si>
  <si>
    <t>GUALEL</t>
  </si>
  <si>
    <t>40% de cobertura de alcantarillado sanitario en el barrio El Rodeo</t>
  </si>
  <si>
    <t>Concluir el sistema de alcantarillado sanitario del barrio El Rodeo</t>
  </si>
  <si>
    <t>Construccion de redes de alcantarillado sanitario
Eliminación de vectores
Protección del medio ambiente</t>
  </si>
  <si>
    <t>Mejorar la salubridad y mitigar la contaminación en los habitantes del barrio El rodeo, parroquia Gualel</t>
  </si>
  <si>
    <t>Hasta finales del año 2015 se contará con una cobertura de alcantarillado sanitario igual o mayor al 95% en el barrio El Rodeo</t>
  </si>
  <si>
    <t>Construcción del sistema de alcantarillado sanitario para el barrio San Francisco.</t>
  </si>
  <si>
    <t>Barrio San Francisco, Parroquial Gualel, sin servicio de alcantarillado sanitario</t>
  </si>
  <si>
    <t>Construccion del sistema de alcantarillado sanitario en el barrio San Francisco</t>
  </si>
  <si>
    <t>Mejorar la salubridad y mitigar la contaminación en los habitantes del barrio San Francisco, parroquia Gualel</t>
  </si>
  <si>
    <t>Hasta finales del año 2015 se contará con una cobertura de alcantarillado sanitario igual o mayor al 95% en el barrio San Francisco</t>
  </si>
  <si>
    <t>209 habitantes beneficiados</t>
  </si>
  <si>
    <t>Estudios para la ampliación del sistema de agua potable a los barrios San Juan, Rodeo y Porvenir.</t>
  </si>
  <si>
    <t>Los barrios rurales El Rodeo, San Juan y Porvenir, no cuentan con servicio de agua potable</t>
  </si>
  <si>
    <t>Obtener los estudios definitivos de agua potable para mejorar la calidad de vida y salud de los habitantes de los barrios El Rodeo, San Juan y Porvenir de la Parroquia Gualel</t>
  </si>
  <si>
    <t>Contar con un proyecto que permita planificar la ampliación de la cobertura del sistema de agua potable hacia los sectores rurales.</t>
  </si>
  <si>
    <t>Los barrios San Juan, Rodeo y Porvenir, contarán con estudios completos para dotación de agua potable.</t>
  </si>
  <si>
    <t xml:space="preserve">Al final del primer semestre del 2015 se contará con los estudios definitivos aprobados de agua potable para planificar su ejecución posterior.
</t>
  </si>
  <si>
    <t>400 habitantes beneficiados</t>
  </si>
  <si>
    <t>Estudios para el sistema de agua potable del barrio Bahin.</t>
  </si>
  <si>
    <t>El barrio Bahín no cuenta con dotación de agua potable.</t>
  </si>
  <si>
    <t>Obtener los estudios definitivos de agua potable para mejorar la calidad de vida y salud de los habitantes del barrio Bahín de la Parroquia Gualel</t>
  </si>
  <si>
    <t>El barrio Bahín contará con estudios completos para dotación de agua potable.</t>
  </si>
  <si>
    <t>Construcción del sistema de alcantarillado sanitario y rehabilitación de la planta de tratamiento de aguas servidas. Segunda Etapa.</t>
  </si>
  <si>
    <t>VILCABAMBA</t>
  </si>
  <si>
    <t>Planta de tratamiento de aguas servidas colapsada.
Red de alcantarillado incompleta</t>
  </si>
  <si>
    <t>Mejorar las condiciones ambientales  y de salubridad de la parroquia Vilcabamba.</t>
  </si>
  <si>
    <t>Incrementar la cobertura de las redes de alcantarillado.
Realizar trabajos de hebilitación temporal de la planta de tratamiento de aguas residuales.</t>
  </si>
  <si>
    <t>Ampliación de le red de alcantarillado y mejoramiento de la planta de tratamiento de aguas residuales</t>
  </si>
  <si>
    <t>2000 habitantes beneficiados</t>
  </si>
  <si>
    <t>Construcción de alcantarillado sanitario de los barrios Tumianuma y Sector El Sauce.</t>
  </si>
  <si>
    <t>Inexistencia de alcantarillado Sanitario en  los barrios Tumianuma y sector El Sauce</t>
  </si>
  <si>
    <t>Dotar del servicio de alcantarillado sanitario a los barrios Tumianuma y el sector El Sauce de la parroquia Vilcabamba</t>
  </si>
  <si>
    <t>Contar con las redes de alcantarillado sanitario de los barrios Tumianuma y El Sauce
Dismunuir vectores de contaminación.
Dismunuir la saturación de agua en los suelos de las zonas a intervenirse.
Proteger el medio ambiente.</t>
  </si>
  <si>
    <t>Dotar de alcantarillado sanitario a los barrios Tumianuma y El Sauce</t>
  </si>
  <si>
    <t>Hasta fines de 2015 se contará con dos sistemas de alcantarillado sanitario funcionando adecuadamente.</t>
  </si>
  <si>
    <t>71 familias beneficiadas</t>
  </si>
  <si>
    <t>Plan de contingencia de Alcantarillado sanitario de la parroquia Vilcabamba.</t>
  </si>
  <si>
    <t>Inexistencia de sistemas de alcantarillado sanitario de los barrios rurales de la parroquia Vilcabamba</t>
  </si>
  <si>
    <t>Contribuir a solucionar los problemas de salubridad del barrio San José</t>
  </si>
  <si>
    <t>Contar con diseños definitivos y planos para construcción de redes de alcantarillado.
Construir el sistema de alcantarillado sanitario del barrio San José
Disminuir problemas de salubridad en la población por descargas de aguas servidas a campo abierto</t>
  </si>
  <si>
    <t>Dotar de alcantarillado sanitario al barrio San José</t>
  </si>
  <si>
    <t>El barrio San José de la parroquia Vilcabamba cuenta con un sistema de alcantarillado sanitario operando adecuadamente a fines de 2015</t>
  </si>
  <si>
    <t>2000 Habitantes</t>
  </si>
  <si>
    <t>Estudios para la reubicación y construcción de la nueva captación del sistema de agua potable de la parroquia Quinara.</t>
  </si>
  <si>
    <t>Captación del SAP de la parroquia Quinara compartida con sistema de riego</t>
  </si>
  <si>
    <t xml:space="preserve">Mejorar el ingreso de agua en la captación </t>
  </si>
  <si>
    <t>Dotar de agua  en forma permanente a la población de Quinara</t>
  </si>
  <si>
    <t>SAP operado y mantenido y produciendo agua apta para consumo humano hasta finales del año 2040</t>
  </si>
  <si>
    <t>Abastecimiento de agua de buena calidad a la población - Brindar un buen servico - Dotación de agua potable en forma permanente. -Mínimo 1745 habitantes servidos por el SAP. Mínimo 90% de muestras cumplen promedios nacionales de calidad, al final de la ejecución del proyecto.</t>
  </si>
  <si>
    <t>1547 habitantes beneficiados</t>
  </si>
  <si>
    <t>Estudios y diseño del nuevo sistema de tratamiento de aguas residuales de la parroquia Quinara.</t>
  </si>
  <si>
    <t>Nueva PTAR para la parroquia Quinara</t>
  </si>
  <si>
    <t>Tratamiento de las aguas residuales de la parroquia Quinara</t>
  </si>
  <si>
    <t>Eliminación de la contaminación del Río Piscobamba por la descarga directa de las aguas servidas de la población de Quinara.</t>
  </si>
  <si>
    <t>PTAR  diseñada y construida con tecnología apropiada hasta finales del periodo de diseño</t>
  </si>
  <si>
    <t>PTAR  cumple normas de calidad hasta finales de periodo de diseño. - Minimo 1547 servidos por la PTAR al final de la ejecución. - PTAR diseñada y construida con tecnología apropiada.</t>
  </si>
  <si>
    <t>Ampliación del sistema de alcantarillado sanitario y construcción de la planta de tratamiento de aguas residuales de la parroquia Quinara, primera etapa.</t>
  </si>
  <si>
    <t>Deficiente funcionamiento de la PTAR de Quinara</t>
  </si>
  <si>
    <t>Dotar PTAR para el tratamiento de las aguas servidas de Quinara</t>
  </si>
  <si>
    <t>Complementar servicio de alcantarillado de Quinara con nueva PTAR</t>
  </si>
  <si>
    <t>Disminuir contaminación del Río Piscobamba. - PTAR cumple normativa de  calidad de agua hasta final del año 2016</t>
  </si>
  <si>
    <t>Estudios y diseño del sistema de alcantarillado pluvial para la cabecera parroquial de Chuquiribamba</t>
  </si>
  <si>
    <t>Alcantarillado pluvial inexistente en la cabecera parroquial de Chuquiribamba</t>
  </si>
  <si>
    <t>Mejorar las condiciones de drenaje de las aguas lluvias en el centro parroquial de Chuquiribamba</t>
  </si>
  <si>
    <t>Mejorar las condiciones de transitabilidad en epoca invernal.
Evitar problemas de inundación en viviendas por la falta de drenaje de las aguas lluvias</t>
  </si>
  <si>
    <t>Contar con estudios y diseños definitivos para la planificación de construcción de redes de alcantarillado pluvial en la parroquia Chuquiribamba.</t>
  </si>
  <si>
    <t>Luego del primer semestre del 2015, se cuenta con estudios y diseños aprobados del sistema de alcantarillado pluvial de la cabecera parroquial de Chuquiribamba.</t>
  </si>
  <si>
    <t>Construcción de 187 unidades básicas sanitarias de los barrios: Zañe, Reina del Cisne, Huaiñacapac Oriental y Occidental de la parroquia Chuquiribamba</t>
  </si>
  <si>
    <t>Obras de eliminación de excretas inexistentes en varios barrios de la parroquia Chuquiribamba</t>
  </si>
  <si>
    <t>Mejorar las condiciones de salubridad y ambientales en varios barrios de la parroquia Chuquiribamba</t>
  </si>
  <si>
    <t>Dotar de infraestructura adecuada para eliminación de excretas
Brindar una alternativa emergente para solucionar el problema de eliminación de excretas a campo abierto.</t>
  </si>
  <si>
    <t>Construcción de unidades básicas sanitarias que cubran las necesidades de varios barrios de la parroquia Chuquiribamba.</t>
  </si>
  <si>
    <t>A finales del 2015, cuatro barrios periféricos de la parroquia Chuqiribamba cuentan con unidades básicas sanitarias funcionando correctamente.</t>
  </si>
  <si>
    <t>1000 habitantes beneficiados</t>
  </si>
  <si>
    <t>Rehabilitación de la planta de tratamiento de aguas residuales de la cabecera parroquial de Yangana</t>
  </si>
  <si>
    <t>Deficiente funcionamiento PTAR</t>
  </si>
  <si>
    <t>Mejorar funcionamiento de PTAR de Yangana</t>
  </si>
  <si>
    <t>Evaluación de la infraestructura sanitaria existente, tratamiento de las aguas servidas.</t>
  </si>
  <si>
    <t xml:space="preserve"> PTAR cumple con normativa de calidad a fines del año 2015</t>
  </si>
  <si>
    <t xml:space="preserve"> PTAR diseñada y construida con tecnología apropiada hasta el año 2015</t>
  </si>
  <si>
    <t>Complementación de los sistemas de alcantarillado pluvial y sanitario de los barrios de la cabecera parroquial de Yangana</t>
  </si>
  <si>
    <t>Incremento de cobertura sistemas de alcantarillado sanitario y pluvial en la parroquia Yangana</t>
  </si>
  <si>
    <t>Ampliación sistemas de alcantarillado sanitario y pluvial de la parroquia Yangana</t>
  </si>
  <si>
    <t>Eliminación de problemas sanitarios por la descarga de aguas servidas a campo abierto y escurrimiento de las aguas lluvias.</t>
  </si>
  <si>
    <t>Sistema de alcantarillado sanitario construido, hasta finales del año 2015 - Alcantarillado sanitario construido con tecnología apropiada hasta finales del año 2044</t>
  </si>
  <si>
    <t xml:space="preserve"> 10% más de la población servidos por sistema de alcantarillado sanitario, al final de la ejecución. - Evacución correcta de las aguas lluvias. </t>
  </si>
  <si>
    <t>500 habitantes beneficiados</t>
  </si>
  <si>
    <t>Ampliación de la red de agua potable para el barrio Chalaca de la parroquia Yangana</t>
  </si>
  <si>
    <t>Ampliación del SAP de  Yangana</t>
  </si>
  <si>
    <t>Dotar el servicio de AP a más habitantes de la parroquia</t>
  </si>
  <si>
    <t>Incrementar la cobertura del servicio de agua potable</t>
  </si>
  <si>
    <t>Ampliación red de agua, hasta finales del año 2015 - Incremento del número de ususarios del SAP de Yangana hasta finales del año 2015</t>
  </si>
  <si>
    <t>Abastecimiento de agua de buena calidad a la población - Brindar un buen servico - Dotación de agua potable en forma permanente. Incremento del número de usuarios del SAP</t>
  </si>
  <si>
    <t>10 familias beneficiadas</t>
  </si>
  <si>
    <t>Construcción de Unidades básicas sanitarias en los barrios rurales de la parroquia Yangana</t>
  </si>
  <si>
    <t>Inexistencia de UBS en barrios rurales de la parroquia Yangana</t>
  </si>
  <si>
    <t>Inmplementación de UBS en barrios rurales de la parroquia Yangana</t>
  </si>
  <si>
    <t>Dismunuir vectores de contaminación.
Proteger el medio ambiente.</t>
  </si>
  <si>
    <t>100% de cobertura con unidades básicas sanitarias en el sector rural de la parroquia Yangana</t>
  </si>
  <si>
    <t>Mínimo 80% de la población rural de Yangana servida con UBS nuevas al final de la ejecución.
100% de UBS en hogares participantes, señalan que obra cumple criterios mínimos de inspección sanitaria al final de la ejecución</t>
  </si>
  <si>
    <t>Construcción del sistema de alcantarillado sanitario para el barrio Comunidades de la parroquia Yangana</t>
  </si>
  <si>
    <t>Inexistencia de alcantarillado Sanitario en  el barrio Comunidades</t>
  </si>
  <si>
    <t>Dotar del servicio de alcantarillado sanitario al barrio Comunidades</t>
  </si>
  <si>
    <t>Contar con las redes de alcantarillado sanitario del barrio Comunidades.
Dismunuir vectores de contaminación.
Dismunuir la saturación de agua en los suelos de las zonas a intervenirse.
Proteger el medio ambiente.</t>
  </si>
  <si>
    <t>Contar con el servicio de alcantarillado sanitario en el barrio Comunidades.</t>
  </si>
  <si>
    <t>A fines del año 2015, el 90% de los habitantes del barrio Comunidades se encuentra satisfecho con el servicio de alcantarillado sanitario.</t>
  </si>
  <si>
    <t>Rehabilitación de unidades básicas sanitarias en el barrio Suro de la parroquia Yangana</t>
  </si>
  <si>
    <t>Deficiente funcionamiento UBS en el Barrio Suro de la parroquia Yangana</t>
  </si>
  <si>
    <t>Mejorar el funcionamiento de UBS existentes en el barrio Suro de la parroquia Yanagana</t>
  </si>
  <si>
    <t>Prolongar la vida útil de las Unidades Básicas Sanitarias del barrio Suro</t>
  </si>
  <si>
    <t>Unidades básicas sanitarias rehabilitadas en el barrio Suro de la parroquia Yangana.</t>
  </si>
  <si>
    <t>Al final del 2015, la totalidad de unidades básicas sanitarias del barrio Suro funcionan adecuadamente.</t>
  </si>
  <si>
    <t>25 familias beneficiadas</t>
  </si>
  <si>
    <t>Conclusión del Plan Maestro de Agua Potable</t>
  </si>
  <si>
    <t>Los caudales actuales que dispone la ciudad de Loja son del orden de Qmín= 535 lit/seg que son insuficientes para atender la demanda actual de 796.47 lit/seg</t>
  </si>
  <si>
    <t>Poner en operación el Plan Maestro de Agua Potable de Loja</t>
  </si>
  <si>
    <t>Ejecutar un conjunto de obras civiles y ambientales, mantenimiento y reparación de equipos y adquisición de bienes, que permitan la rehabilitación de la captación Los Leones, terminación de la línea de conducción de agua cruda tramo captación Los Leones- intersección con la conducción proveniente de la quebrada Shucos y repotenciación de la planta de tratamiento de agua potable Carigan</t>
  </si>
  <si>
    <t xml:space="preserve">Poner al servicio de Loja un caudal de 500 lt provenientes de la quebrada Los Leones.
Hacer funcionar de manera correcta la infraestructura electromecánica y electrónica de la planta de tratamiento de agua potable Carigan.
Dotar de agua potable a lkos barrios occidentales que se encuentran dentro del área de cobertura las 24 horas del día </t>
  </si>
  <si>
    <t>En el segundo semestre del año 2015, se encuentra rehabilitada la captación Los Leones, funcionando aproximadamente 17 km de conducción comprendida en nla captación Los Leones y se entronque con la conducción proveniente de la quebrada shucos.
En el segundo semestre del 2016 se ha recuperado 82 hectáreas de bosque nativo de la cuenca Tambo Blanco</t>
  </si>
  <si>
    <t>n</t>
  </si>
  <si>
    <t>Ing. Vicente Torres</t>
  </si>
  <si>
    <t>Complementar las redes de agua potable alcantarillado sanitario y pluvial en la prolongación de la Av. Barcelona y calle Burgos, Málaga , Segovia, Zaragoza, Pamplona, Bilbao, León y Oporto</t>
  </si>
  <si>
    <t>Se incorpora este proyecto</t>
  </si>
  <si>
    <t>Readecuación de tres baterías  sanitarias en Jimbilla</t>
  </si>
  <si>
    <t>Adquisición de la Planta de tratamiento compacta de aguas residuales para la parroquia Vilcabamba</t>
  </si>
  <si>
    <t>UNIDAD ADMINISTRATIVA REGENERACIÓN URBANA</t>
  </si>
  <si>
    <t>Proyecto de Ordenamiento y Desarrollo Sostenible del Casco Urbano Central de la Ciudad de Loja-Renovación de Redes de agua potable.</t>
  </si>
  <si>
    <t>Casco Urbano Central de la Ciudad de Loja</t>
  </si>
  <si>
    <t xml:space="preserve">El 100% de las tuberías de agua potable  han concluido su vida útil. </t>
  </si>
  <si>
    <t>Dotar a los beneficiarios de un sistema renovado de agua potable</t>
  </si>
  <si>
    <t>Renovar las redes de agua potable en el casco céntrico de la Ciudad.</t>
  </si>
  <si>
    <t>Renovar el 16,26% de las redes de agua potable en el casco urbano central de la ciudad.</t>
  </si>
  <si>
    <t>En 4 meses  renovar el 16,26% de las redes de agua potable en el casco céntrico de la ciudad</t>
  </si>
  <si>
    <t>170.280 habitantes beneficiados (población urbana de Loja censo 2010)</t>
  </si>
  <si>
    <t>Dirección de Regeneración Urbana</t>
  </si>
  <si>
    <t>Unidad Administrativa del Proyecto</t>
  </si>
  <si>
    <t>Ing. Javier Rodríguez</t>
  </si>
  <si>
    <t>Proyecto de Ordenamiento y Desarrollo Sostenible del Casco Urbano Central de la Ciudad de Loja-Renovación de redes de alcantarillado pluvial y Sanitario</t>
  </si>
  <si>
    <t xml:space="preserve">El 100% de las tuberías  de alcantarillado pluvial y sanitario  han concluido su vida útil. </t>
  </si>
  <si>
    <t>Dotar a los beneficiarios de nuevas redes de alcantarillado pluvial y sanitario</t>
  </si>
  <si>
    <t>Renovar las redes de alcantarillado pluvial y sanitario en el casco céntrico de la ciudad.</t>
  </si>
  <si>
    <t>Renovar el 11,90% de las redes de alcantarillado pluvial y sanitario en el casco central de la ciudad.</t>
  </si>
  <si>
    <t>Renovar en 4 meses el 11,90% de las tuberías de alcantarillado pluvial y sanitario en el casco céntrico de la ciudad.</t>
  </si>
  <si>
    <t>Proyecto de Ordenamiento y Desarrollo Sostenible del Casco Urbano Central de la Ciudad de Loja-Consultoría de estudios técnicos definitivos de la Planta de Tratamiento de Aguas Residuales</t>
  </si>
  <si>
    <t xml:space="preserve"> Ciudad de Loja</t>
  </si>
  <si>
    <t>Al momento la Planta de Tratamiento de Aguas Residuales no cuenta con los estudios técnicos definitivos</t>
  </si>
  <si>
    <t>Contar con los estudios definitivos para la construcción de la Planta de Tratamiento de Aguas Residuales</t>
  </si>
  <si>
    <t>Contar con los diseños definitivos  de las obras civiles así como la relativo a la implementación de equipos y maquinarias  para la construcción  y montaje de la Planta de Tratamiento de Aguas Residuales</t>
  </si>
  <si>
    <t>Contar con los estudios técnicos relacionados con: obras civiles,  requerimiento de equipos y maquinarias, sistemas eléctricas y colectores  para la construcción y montaje de la Planta de Tratamiento de Aguas Residuales.</t>
  </si>
  <si>
    <t>Al concluir el ejercicio economico del 2015 se cuenta con el 100% de los estudios técnicos definitivos de la Planta de Tratamiento de Aguas Residuales</t>
  </si>
  <si>
    <t>COMITÉ DE CONTRATACIÓN</t>
  </si>
  <si>
    <t>Proyecto de Ordenamiento y Desarrollo Sostenible del Casco Urbano Central de la ciudad de Loja-Reanimación del Espacio Público, Cobertura Vegetal y Mobiliario Urbano.</t>
  </si>
  <si>
    <t>En la actualidad el casco urbano de la ciudad el asfalto de las vías, aceras y bordillos  ha concluido su vida útil</t>
  </si>
  <si>
    <t>Contribuir al ornato y embellecimiento de la ciudad, optimizando el uso  del espacio publico y contribuyendo al ordenamiento territorial del casco urbano de la urbe.</t>
  </si>
  <si>
    <t>Aportar al ornato de la ciudad, mediante el retiro de postes, reposición de  luminarias y mobiliario de los espacios públicos del casco urbano de la Ciudad de Loja y el ordenamiento del transito vehicular</t>
  </si>
  <si>
    <t>Repavimentar el 4,36% de la vía publica, aceras y bordillos afectados por el soterramiento de las redes de agua potable, alcantarillados, energía eléctrica, telefonía y fibra óptica  y regeneración de los espacios públicos</t>
  </si>
  <si>
    <t>En 4 meses se regenera el 4,36% del Casco Urbano de la Ciudad de Loja en función de los diseños y especificaciones  técnicas del proyecto.</t>
  </si>
  <si>
    <t>Proyecto de Ordenamiento y Desarrollo Sostenible del Casco Urbano Central de la Ciudad de Loja-Soterramiento de redes de energía eléctrica</t>
  </si>
  <si>
    <t>Actualmente las redes se encuentran instaladas en forma aérea afectando el ornato de la Ciudad y limitando el espacio público</t>
  </si>
  <si>
    <t>Contribuir al ornato, ampliar la disponibilidad  de espacio publico y contribuir a la  seguridad ciudadana soterrando  las redes de energía eléctrica en el casco urbano de la Ciudad.</t>
  </si>
  <si>
    <t>Soterrar las redes de energía eléctrica en el casco urbano de la Ciudad.  Implementar las acometidas domiciliarias a 220 acorde a la nueva matriz productiva, retirar 773 postes de hormigón, 1087 luminarias de alumbrado público y 49 luminarias ornamentales y, reemplazarlos por postes ornamentales y luminarias acordes a los diseños del proyecto.</t>
  </si>
  <si>
    <t>Soterramiento del 8,94% de  las redes de energía eléctrica en el casco urbano de la Ciudad, así como retirar y reemplazar el 8,94% postes y luminarias en función de las especificaciones técnicas del proyecto.</t>
  </si>
  <si>
    <t>En 4  meses se soterrar el 8,94% de las redes eléctricas en el Casco Urbano de la Ciudad de Loja, retirar y reemplazar el 8,94% de postes y  luminarias según los diseños del proyecto.</t>
  </si>
  <si>
    <t>Proyecto de Ordenamiento y Desarrollo Sostenible del Casco Urbano central de la Ciudad de Loja-Soterramiento de redes de  telefonía y fibra óptica</t>
  </si>
  <si>
    <t>Actualmente las redes se encuentran instaladas en forma aérea afectando el ornato y limitando el espacio público  de la Ciudad.</t>
  </si>
  <si>
    <t>Contribuir al ornato y mejoramiento del espacio publico Soterrando  las redes telefónicas y de fibra óptica en el casco urbano de la Ciudad.</t>
  </si>
  <si>
    <t>Soterrar las redes telefónicas y de fibra óptica en el casco urbano de la Ciudad.</t>
  </si>
  <si>
    <t>Construir el 10,24% de la infraestructura civil para el soterramiento de las redes telefónicas y de fibra óptica en el casco urbano de la Ciudad.</t>
  </si>
  <si>
    <t>En  4 meses se construye  10,24% de la obra civil para   las redes telefónicas y de fibra óptica acorde al cronograma y presupuesto.</t>
  </si>
  <si>
    <t>Proyecto de Ordenamiento y Desarrollo Sostenible del Casco Urbano Central de la Ciudad de Loja-Fiscalización  Proyecto de Regeneración Urbana</t>
  </si>
  <si>
    <t>Para el logro de los objetivos generales y específicos  en la ejecución del Proyecto de Regeneración Urbana  el proceso contara con  un sistema de fiscalización externa que involucrará todas las fases y componentes del Proyecto</t>
  </si>
  <si>
    <t>Controlar que el proyecto se ejecute dentro de los parámetros de calidad,  eficiencia y eficacia con los que ha sido planificado y que redundarán en beneficio de la colectividad Lojana</t>
  </si>
  <si>
    <t>Realizar el seguimiento y control de la ejecución de cada una de las etapas de ejecución de los componentes del Proyecto</t>
  </si>
  <si>
    <t>Que el proyecto se ejecute encuadrado en los aspectos técnicos, presupuestarios y cronogramas establecidos para cada componente.</t>
  </si>
  <si>
    <t>Que en 4 meses se ejecuten los componentes del proyecto en función de los cronogramas y presupuestos preestablecidos.</t>
  </si>
  <si>
    <t>Proyecto de Ordenamiento y Desarrollo Sostenible del Casco Urbano Central de la Ciudad de Loja-Comisiones y otros cargos Préstamo CAF</t>
  </si>
  <si>
    <t xml:space="preserve">Obligación del pago de  Comisiones de : Financiamiento, Compromiso y Gastos de Evaluación por la obtención del préstamo CAF. </t>
  </si>
  <si>
    <t>Lograr que los coejecutores realicen el pago oportuno de la comisión de Compromiso  inherente al préstamo CAF.</t>
  </si>
  <si>
    <t xml:space="preserve">A  a partir de la firma del contrato de préstamo, se habrá pagado semestralmente la Comisión de Compromiso    determinando oportunamente lafecha y monto correspondiente a cada coejecutor. </t>
  </si>
  <si>
    <t>Que tanto la EERSSA, CNT EP , 48 horas antes hayan transferido al GAD los valores correspondientes al pago de la Comisión de Compromiso, y que este haya ultimado detalles respecto al monto y fecha de pago de la misma.</t>
  </si>
  <si>
    <t>Hasta las 11h00 del día que corresponda realizar los pagos por Comisión de Compromiso,  se haya efectuado la trasferencia correspondiente por el 100% del pago.</t>
  </si>
  <si>
    <t>Proyecto de Ordenamiento y Desarrollo Sostenible del Casco Urbano Central de la Ciudad de Loja-Intereses a Organismos Multilaterales</t>
  </si>
  <si>
    <t>Obligación del pago de intereses por los desembolsos recibidos durante el periodo de gracia.</t>
  </si>
  <si>
    <t>Velar por el cumplimiento cabal y oportuno tanto, a nivel interno, como de coejecutores en aspectos relacionados con la previsión y pago de los intereses  correspondientes al préstamo CAF.</t>
  </si>
  <si>
    <t>Realizar los gestiones que sean necesarias para que el GAD Loja, CNT EP; y, EERSSA incluyan en sus presupuestos anuales , los valores correspondientes al rubro intereses que semestralmente deben sufragar por el préstamo CAF.</t>
  </si>
  <si>
    <t>Que tanto la EERSSA, CNT EP , 48 horas antes hayan depositado al GAD los valores correspondientes al pago semestral, y que el Municipio haya gestionado la orden de transferencia respectiva.</t>
  </si>
  <si>
    <t>Hasta las 11h00 del día que corresponda realizar el pago de intereses, se haya efectuado la trasferencia correspondiente por el 100% del pago.</t>
  </si>
  <si>
    <t>Proyecto de Ordenamiento y Desarrollo Sostenible del Casco Urbano Central de la Ciudad de Loja-Auditoría financiera del Proyecto de Regeneración Urbana</t>
  </si>
  <si>
    <t>Al iniciar las obras no se cuenta con un contrato de auditoria relacionada con el Proyecto</t>
  </si>
  <si>
    <t>Que para garantizar la rectitud y transparencia  de los procesos de ejecución del proyecto es menester contar una auditoria que cumpla con este cometido</t>
  </si>
  <si>
    <t>Realizar la licitación y contratación de una Auditoria que cumpla con el objetivo general del Proyecto.</t>
  </si>
  <si>
    <t>Haber realizado los tramites correspondientes a la licitación y contratación de la Auditoria financiera externa.</t>
  </si>
  <si>
    <t>Que en 4 meses se ha realizado en un 100%  la licitación y contratación de la Auditoria que realice el seguimiento de los procesos administrativos, contables relacionados con el Proyecto</t>
  </si>
  <si>
    <t>Proyecto de Ordenamiento y Desarrollo Sostenible del Casco Urbano Central de la Ciudad de Loja- Plan de Manejo Ambiental</t>
  </si>
  <si>
    <t>Para  la ejecución del Proyecto,  la Dirección Ejecutora Cuenta con un Plan de Manejo Ambiental que comprende 10 Programas a ser ejecutados antes, durante y después de la ejecución el proyecto.</t>
  </si>
  <si>
    <t>Minimizar los impactos ambientales que la ejecución del proyecto ocasione sobre : Las Personas, Agua, Suelo, Aire, Flora y Fauna del área de incidencia Directa e Indirecta del Proyecto.</t>
  </si>
  <si>
    <t>A través del control y ejecución de los 10 Programas del Plan, remediar las afectaciones que se realicen en: Calles, Aceras, Avenidas, Parques, áreas de instalación de Campamentos, canteras , escombreras y depósitos de desechos sólidos y líquidos.</t>
  </si>
  <si>
    <t>Ejecutar  la programación establecida en el Plan de Manejo Ambiental, en función de la planificación y cronograma previamente determinados.</t>
  </si>
  <si>
    <t>En 4 meses ejecutar el 16,65% de las actividades contempladas en el Plan de manejo Ambiental ajustadas al presupuesto y cronograma determinados.</t>
  </si>
  <si>
    <t>Ing, Victor Hugo Martinez Chejin</t>
  </si>
  <si>
    <t>Proyecto de Ordenamiento y Desarrollo Sostenible del Casco Urbano Central de Loja-Plan de Comunicación</t>
  </si>
  <si>
    <t>Para llevar a cabo el proceso de construcción del Proyecto, se cuenta con el Plan de Comunicación que comprende tres etapas a ejecutarse antes, durante y después de la ejecución del Proyecto.</t>
  </si>
  <si>
    <t>A través de la ejecución de las tres etapas del Plan de Comunicación, lograr la concienciación, sensibilización y difusión  de los aspectos  más relevantes que implica la ejecución del proyecto,  así como de las  bondades  que en múltiples aspectos representa para la ciudad y la provincia.</t>
  </si>
  <si>
    <t>A través del uso de los diferentes medios de comunicación, Lograr que la ciudadanía comprenda la necesidad e importancia de la ejecución del proyecto procurando su empoderamiento y defensa del mismo</t>
  </si>
  <si>
    <t>Lograr que la ciudadanía debidamente informada colabore positivamente con la ejecución del proyecto, minimizando conflictos y malestar ciudadano.</t>
  </si>
  <si>
    <t>En 4 meses ejecutar el 29,58% de las actividades contempladas en el Plan de Comunicación ajustadas al presupuesto y cronograma determinados, logrando minimizar los reclamos y molestias caudadas a la ciudadanía.</t>
  </si>
  <si>
    <t>Técnico en comunicación responsable</t>
  </si>
  <si>
    <t>EMPRESA PÚBLICA DE RADIO Y TELEVISI+ON MUNICIPAL</t>
  </si>
  <si>
    <t>Proyecto Canal del Sur Radio y Televisión Municipal Digital</t>
  </si>
  <si>
    <t>Implementar un canal de televisión municipal con cobertura en el cantón Loja, que permita a las autoridad a propender hacia un buen gobierno y mantener una realación más estrecha con sus mandantes</t>
  </si>
  <si>
    <t>Realizar los trámites legales, Implementar la infraestructura de transmisióm, adecuación y equipamientos de los estudios de televisión</t>
  </si>
  <si>
    <t>Número de canales de Radio y Televisón implementados</t>
  </si>
  <si>
    <t>Proyecto de Canal del Sur radio y Televisión Municipal, implemenytado en nueve meses</t>
  </si>
  <si>
    <t>214855  habitantes</t>
  </si>
  <si>
    <t>Comunicación</t>
  </si>
  <si>
    <t>Ing. Carlos Barahona</t>
  </si>
  <si>
    <t>PROYECTOS NUEVOS A INCLUIRSE</t>
  </si>
  <si>
    <t>Adecuación de la cancha de uso múltiple del barrio La Pradera</t>
  </si>
  <si>
    <t>Obras públicas</t>
  </si>
  <si>
    <t>Adecuaciones a la cancha de fútbol de la ciudadela Polivio Sucunuta</t>
  </si>
  <si>
    <t>Construcción de escalinata en la calle Víctor Aurelio Guerrero, ubicada junto al colegio Adolfo valarezao</t>
  </si>
  <si>
    <t>Pavimentación a nivel de adoquinado con adoquin vehicular de hormigón simple , de las calles agua del hierro y valle sagrado entre Bolivar y Dieo Vaca de la Vega de la parroquia Vilcabamba</t>
  </si>
  <si>
    <t>Reparaciones a realizarse en la cancha de uso múltiple en el barrio Las peñas de la ciudad de Loja</t>
  </si>
  <si>
    <t>ESCUELAS MUNICIPALES</t>
  </si>
  <si>
    <t>Construcción de base de hormigón para el tanque resrvorio de agua de la Escuela Municipal Mons. Jorge Guillermo Armijos</t>
  </si>
  <si>
    <t>Escuelas Municipales</t>
  </si>
  <si>
    <t>Construcción de baterías sanitarias en la parroquia Malacatos</t>
  </si>
  <si>
    <t>Arreglo  en el área cívica central junto a la iglesia del barrio obrapía de la ciudad de Loja</t>
  </si>
</sst>
</file>

<file path=xl/styles.xml><?xml version="1.0" encoding="utf-8"?>
<styleSheet xmlns="http://schemas.openxmlformats.org/spreadsheetml/2006/main">
  <numFmts count="7">
    <numFmt numFmtId="43" formatCode="_(* #,##0.00_);_(* \(#,##0.00\);_(* &quot;-&quot;??_);_(@_)"/>
    <numFmt numFmtId="164" formatCode="000"/>
    <numFmt numFmtId="165" formatCode="_(&quot;$ &quot;* #,##0_);_(&quot;$ &quot;* \(#,##0\);_(&quot;$ &quot;* \-??_);_(@_)"/>
    <numFmt numFmtId="166" formatCode="00"/>
    <numFmt numFmtId="167" formatCode="_-* #,##0.00\ _$_-;\-* #,##0.00\ _$_-;_-* &quot;-&quot;??\ _$_-;_-@_-"/>
    <numFmt numFmtId="168" formatCode="_(* #,##0.00_);_(* \(#,##0.00\);_(* \-??_);_(@_)"/>
    <numFmt numFmtId="169" formatCode="&quot;0.0.00.00&quot;"/>
  </numFmts>
  <fonts count="44">
    <font>
      <sz val="11"/>
      <color theme="1"/>
      <name val="Calibri"/>
      <family val="2"/>
      <scheme val="minor"/>
    </font>
    <font>
      <sz val="11"/>
      <color theme="1"/>
      <name val="Calibri"/>
      <family val="2"/>
      <scheme val="minor"/>
    </font>
    <font>
      <sz val="11"/>
      <color indexed="8"/>
      <name val="Calibri"/>
      <family val="2"/>
    </font>
    <font>
      <b/>
      <sz val="18"/>
      <color indexed="8"/>
      <name val="Calibri"/>
      <family val="2"/>
    </font>
    <font>
      <b/>
      <sz val="16"/>
      <color indexed="8"/>
      <name val="Calibri"/>
      <family val="2"/>
    </font>
    <font>
      <sz val="10"/>
      <name val="Arial"/>
      <family val="2"/>
    </font>
    <font>
      <b/>
      <sz val="12"/>
      <color indexed="9"/>
      <name val="Arial Narrow"/>
      <family val="2"/>
    </font>
    <font>
      <sz val="11"/>
      <color indexed="49"/>
      <name val="Calibri"/>
      <family val="2"/>
    </font>
    <font>
      <b/>
      <sz val="11"/>
      <name val="Arial Narrow"/>
      <family val="2"/>
    </font>
    <font>
      <b/>
      <sz val="8"/>
      <name val="Arial Narrow"/>
      <family val="2"/>
    </font>
    <font>
      <b/>
      <sz val="11"/>
      <color indexed="9"/>
      <name val="Arial Narrow"/>
      <family val="2"/>
    </font>
    <font>
      <b/>
      <sz val="9"/>
      <name val="Arial Narrow"/>
      <family val="2"/>
    </font>
    <font>
      <b/>
      <sz val="12"/>
      <name val="Arial Narrow"/>
      <family val="2"/>
    </font>
    <font>
      <sz val="10"/>
      <color rgb="FF000000"/>
      <name val="Arial"/>
      <family val="2"/>
    </font>
    <font>
      <b/>
      <sz val="10"/>
      <name val="Arial"/>
      <family val="2"/>
    </font>
    <font>
      <sz val="10"/>
      <color rgb="FFFF0000"/>
      <name val="Arial"/>
      <family val="2"/>
    </font>
    <font>
      <sz val="10"/>
      <color indexed="8"/>
      <name val="Arial"/>
      <family val="2"/>
    </font>
    <font>
      <sz val="10"/>
      <color theme="1"/>
      <name val="Arial"/>
      <family val="2"/>
    </font>
    <font>
      <b/>
      <sz val="10"/>
      <color indexed="8"/>
      <name val="Arial"/>
      <family val="2"/>
    </font>
    <font>
      <sz val="10"/>
      <color indexed="8"/>
      <name val="Calibri"/>
      <family val="2"/>
    </font>
    <font>
      <b/>
      <sz val="10"/>
      <color indexed="8"/>
      <name val="Calibri"/>
      <family val="2"/>
    </font>
    <font>
      <b/>
      <sz val="10"/>
      <color rgb="FFFF0000"/>
      <name val="Arial"/>
      <family val="2"/>
    </font>
    <font>
      <b/>
      <sz val="10"/>
      <color rgb="FF000000"/>
      <name val="Arial"/>
      <family val="2"/>
    </font>
    <font>
      <b/>
      <sz val="10"/>
      <color theme="1"/>
      <name val="Arial"/>
      <family val="2"/>
    </font>
    <font>
      <sz val="10"/>
      <color theme="1"/>
      <name val="Calibri"/>
      <family val="2"/>
      <scheme val="minor"/>
    </font>
    <font>
      <b/>
      <sz val="11"/>
      <color indexed="8"/>
      <name val="Calibri"/>
      <family val="2"/>
    </font>
    <font>
      <sz val="10"/>
      <color theme="0"/>
      <name val="Calibri"/>
      <family val="2"/>
    </font>
    <font>
      <b/>
      <sz val="9"/>
      <color indexed="81"/>
      <name val="Tahoma"/>
      <family val="2"/>
    </font>
    <font>
      <sz val="9"/>
      <color indexed="81"/>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s>
  <fills count="51">
    <fill>
      <patternFill patternType="none"/>
    </fill>
    <fill>
      <patternFill patternType="gray125"/>
    </fill>
    <fill>
      <patternFill patternType="solid">
        <fgColor indexed="49"/>
        <bgColor indexed="38"/>
      </patternFill>
    </fill>
    <fill>
      <patternFill patternType="solid">
        <fgColor indexed="42"/>
        <bgColor indexed="34"/>
      </patternFill>
    </fill>
    <fill>
      <patternFill patternType="solid">
        <fgColor indexed="22"/>
        <bgColor indexed="31"/>
      </patternFill>
    </fill>
    <fill>
      <patternFill patternType="solid">
        <fgColor indexed="62"/>
        <bgColor indexed="56"/>
      </patternFill>
    </fill>
    <fill>
      <patternFill patternType="solid">
        <fgColor indexed="44"/>
        <bgColor indexed="31"/>
      </patternFill>
    </fill>
    <fill>
      <patternFill patternType="solid">
        <fgColor rgb="FFFFFFFF"/>
        <bgColor rgb="FFFFFFFF"/>
      </patternFill>
    </fill>
    <fill>
      <patternFill patternType="solid">
        <fgColor rgb="FFCCFFFF"/>
        <bgColor rgb="FFFFFFFF"/>
      </patternFill>
    </fill>
    <fill>
      <patternFill patternType="solid">
        <fgColor rgb="FFFFFFFF"/>
        <bgColor rgb="FF9999FF"/>
      </patternFill>
    </fill>
    <fill>
      <patternFill patternType="solid">
        <fgColor rgb="FFFFFFFF"/>
        <bgColor rgb="FFCCFFFF"/>
      </patternFill>
    </fill>
    <fill>
      <patternFill patternType="solid">
        <fgColor rgb="FFFFFFCC"/>
        <bgColor rgb="FF000000"/>
      </patternFill>
    </fill>
    <fill>
      <patternFill patternType="solid">
        <fgColor rgb="FFFFFF00"/>
        <bgColor rgb="FF000000"/>
      </patternFill>
    </fill>
    <fill>
      <patternFill patternType="solid">
        <fgColor rgb="FFDBEEF3"/>
        <bgColor rgb="FF000000"/>
      </patternFill>
    </fill>
    <fill>
      <patternFill patternType="solid">
        <fgColor rgb="FFFCD5B4"/>
        <bgColor rgb="FF000000"/>
      </patternFill>
    </fill>
    <fill>
      <patternFill patternType="solid">
        <fgColor theme="0"/>
        <bgColor indexed="9"/>
      </patternFill>
    </fill>
    <fill>
      <patternFill patternType="solid">
        <fgColor indexed="41"/>
        <bgColor indexed="9"/>
      </patternFill>
    </fill>
    <fill>
      <patternFill patternType="solid">
        <fgColor theme="0"/>
        <bgColor indexed="24"/>
      </patternFill>
    </fill>
    <fill>
      <patternFill patternType="solid">
        <fgColor indexed="9"/>
        <bgColor indexed="41"/>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9"/>
      </patternFill>
    </fill>
    <fill>
      <patternFill patternType="solid">
        <fgColor rgb="FFFFFF00"/>
        <bgColor indexed="24"/>
      </patternFill>
    </fill>
    <fill>
      <patternFill patternType="solid">
        <fgColor rgb="FFFFFF00"/>
        <bgColor indexed="41"/>
      </patternFill>
    </fill>
    <fill>
      <patternFill patternType="solid">
        <fgColor theme="0"/>
        <bgColor indexed="31"/>
      </patternFill>
    </fill>
    <fill>
      <patternFill patternType="solid">
        <fgColor rgb="FFFFFF00"/>
        <bgColor indexed="31"/>
      </patternFill>
    </fill>
    <fill>
      <patternFill patternType="solid">
        <fgColor theme="0"/>
        <bgColor indexed="64"/>
      </patternFill>
    </fill>
    <fill>
      <patternFill patternType="solid">
        <fgColor theme="0"/>
        <bgColor indexed="41"/>
      </patternFill>
    </fill>
    <fill>
      <patternFill patternType="solid">
        <fgColor rgb="FFCCFFFF"/>
        <bgColor indexed="64"/>
      </patternFill>
    </fill>
    <fill>
      <patternFill patternType="solid">
        <fgColor rgb="FFCCFFFF"/>
        <bgColor indexed="9"/>
      </patternFill>
    </fill>
    <fill>
      <patternFill patternType="solid">
        <fgColor theme="9" tint="0.39997558519241921"/>
        <bgColor indexed="64"/>
      </patternFill>
    </fill>
    <fill>
      <patternFill patternType="solid">
        <fgColor theme="5" tint="-0.249977111117893"/>
        <bgColor indexed="64"/>
      </patternFill>
    </fill>
    <fill>
      <patternFill patternType="solid">
        <fgColor indexed="31"/>
        <bgColor indexed="22"/>
      </patternFill>
    </fill>
    <fill>
      <patternFill patternType="solid">
        <fgColor indexed="45"/>
        <bgColor indexed="24"/>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29"/>
        <bgColor indexed="24"/>
      </patternFill>
    </fill>
    <fill>
      <patternFill patternType="solid">
        <fgColor indexed="11"/>
        <bgColor indexed="49"/>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52"/>
        <bgColor indexed="51"/>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3"/>
        <bgColor indexed="19"/>
      </patternFill>
    </fill>
    <fill>
      <patternFill patternType="solid">
        <fgColor indexed="43"/>
        <bgColor indexed="26"/>
      </patternFill>
    </fill>
    <fill>
      <patternFill patternType="solid">
        <fgColor indexed="26"/>
        <bgColor indexed="9"/>
      </patternFill>
    </fill>
  </fills>
  <borders count="45">
    <border>
      <left/>
      <right/>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thin">
        <color auto="1"/>
      </right>
      <top style="thin">
        <color auto="1"/>
      </top>
      <bottom/>
      <diagonal/>
    </border>
    <border>
      <left/>
      <right/>
      <top style="medium">
        <color indexed="8"/>
      </top>
      <bottom/>
      <diagonal/>
    </border>
    <border>
      <left style="medium">
        <color indexed="8"/>
      </left>
      <right/>
      <top style="medium">
        <color indexed="8"/>
      </top>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top style="medium">
        <color indexed="8"/>
      </top>
      <bottom style="thin">
        <color indexed="64"/>
      </bottom>
      <diagonal/>
    </border>
    <border>
      <left/>
      <right style="medium">
        <color indexed="8"/>
      </right>
      <top style="medium">
        <color indexed="8"/>
      </top>
      <bottom style="thin">
        <color indexed="64"/>
      </bottom>
      <diagonal/>
    </border>
    <border>
      <left/>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51">
    <xf numFmtId="0" fontId="0" fillId="0" borderId="0"/>
    <xf numFmtId="43" fontId="1" fillId="0" borderId="0" applyFont="0" applyFill="0" applyBorder="0" applyAlignment="0" applyProtection="0"/>
    <xf numFmtId="0" fontId="2" fillId="0" borderId="0"/>
    <xf numFmtId="0" fontId="5" fillId="0" borderId="0"/>
    <xf numFmtId="166" fontId="2" fillId="0" borderId="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6" borderId="0" applyNumberFormat="0" applyBorder="0" applyAlignment="0" applyProtection="0"/>
    <xf numFmtId="0" fontId="2" fillId="41" borderId="0" applyNumberFormat="0" applyBorder="0" applyAlignment="0" applyProtection="0"/>
    <xf numFmtId="0" fontId="29" fillId="42"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9" fillId="2" borderId="0" applyNumberFormat="0" applyBorder="0" applyAlignment="0" applyProtection="0"/>
    <xf numFmtId="0" fontId="29" fillId="44" borderId="0" applyNumberFormat="0" applyBorder="0" applyAlignment="0" applyProtection="0"/>
    <xf numFmtId="0" fontId="30" fillId="3" borderId="0" applyNumberFormat="0" applyBorder="0" applyAlignment="0" applyProtection="0"/>
    <xf numFmtId="0" fontId="31" fillId="4" borderId="36" applyNumberFormat="0" applyAlignment="0" applyProtection="0"/>
    <xf numFmtId="0" fontId="32" fillId="45" borderId="37" applyNumberFormat="0" applyAlignment="0" applyProtection="0"/>
    <xf numFmtId="0" fontId="33" fillId="0" borderId="38" applyNumberFormat="0" applyFill="0" applyAlignment="0" applyProtection="0"/>
    <xf numFmtId="0" fontId="34" fillId="0" borderId="0" applyNumberFormat="0" applyFill="0" applyBorder="0" applyAlignment="0" applyProtection="0"/>
    <xf numFmtId="0" fontId="29" fillId="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3" borderId="0" applyNumberFormat="0" applyBorder="0" applyAlignment="0" applyProtection="0"/>
    <xf numFmtId="0" fontId="29" fillId="2" borderId="0" applyNumberFormat="0" applyBorder="0" applyAlignment="0" applyProtection="0"/>
    <xf numFmtId="0" fontId="29" fillId="48" borderId="0" applyNumberFormat="0" applyBorder="0" applyAlignment="0" applyProtection="0"/>
    <xf numFmtId="0" fontId="35" fillId="38" borderId="36" applyNumberFormat="0" applyAlignment="0" applyProtection="0"/>
    <xf numFmtId="0" fontId="2" fillId="0" borderId="0"/>
    <xf numFmtId="0" fontId="36" fillId="35" borderId="0" applyNumberFormat="0" applyBorder="0" applyAlignment="0" applyProtection="0"/>
    <xf numFmtId="168"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0" fontId="37" fillId="49" borderId="0" applyNumberFormat="0" applyBorder="0" applyAlignment="0" applyProtection="0"/>
    <xf numFmtId="0" fontId="5" fillId="0" borderId="0"/>
    <xf numFmtId="0" fontId="2" fillId="50" borderId="39" applyNumberFormat="0" applyAlignment="0" applyProtection="0"/>
    <xf numFmtId="0" fontId="38" fillId="4" borderId="4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42" applyNumberFormat="0" applyFill="0" applyAlignment="0" applyProtection="0"/>
    <xf numFmtId="0" fontId="34" fillId="0" borderId="43" applyNumberFormat="0" applyFill="0" applyAlignment="0" applyProtection="0"/>
    <xf numFmtId="0" fontId="43" fillId="0" borderId="0" applyNumberFormat="0" applyFill="0" applyBorder="0" applyAlignment="0" applyProtection="0"/>
    <xf numFmtId="0" fontId="25" fillId="0" borderId="44" applyNumberFormat="0" applyFill="0" applyAlignment="0" applyProtection="0"/>
  </cellStyleXfs>
  <cellXfs count="427">
    <xf numFmtId="0" fontId="0" fillId="0" borderId="0" xfId="0"/>
    <xf numFmtId="0" fontId="2" fillId="0" borderId="0" xfId="2"/>
    <xf numFmtId="0" fontId="3" fillId="0" borderId="0" xfId="2" applyFont="1" applyAlignment="1">
      <alignment horizontal="center" wrapText="1"/>
    </xf>
    <xf numFmtId="0" fontId="4" fillId="0" borderId="0" xfId="2" applyFont="1" applyAlignment="1">
      <alignment wrapText="1"/>
    </xf>
    <xf numFmtId="0" fontId="3" fillId="0" borderId="1" xfId="2" applyFont="1" applyBorder="1" applyAlignment="1">
      <alignment horizontal="center"/>
    </xf>
    <xf numFmtId="0" fontId="2" fillId="0" borderId="2" xfId="2" applyBorder="1"/>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7" fillId="3" borderId="4" xfId="2" applyFont="1" applyFill="1" applyBorder="1" applyAlignment="1">
      <alignment horizontal="center"/>
    </xf>
    <xf numFmtId="0" fontId="8" fillId="4" borderId="6"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8"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9" xfId="3" applyFont="1" applyFill="1" applyBorder="1" applyAlignment="1">
      <alignment horizontal="center" vertical="center" wrapText="1" readingOrder="1"/>
    </xf>
    <xf numFmtId="0" fontId="8" fillId="4" borderId="9" xfId="3" applyFont="1" applyFill="1" applyBorder="1" applyAlignment="1">
      <alignment horizontal="center" vertical="center" wrapText="1" readingOrder="1"/>
    </xf>
    <xf numFmtId="0" fontId="8" fillId="4" borderId="9" xfId="3" applyFont="1" applyFill="1" applyBorder="1" applyAlignment="1">
      <alignment horizontal="center" vertical="center" wrapText="1"/>
    </xf>
    <xf numFmtId="0" fontId="9" fillId="4" borderId="10" xfId="3" applyFont="1" applyFill="1" applyBorder="1" applyAlignment="1">
      <alignment vertical="center" wrapText="1"/>
    </xf>
    <xf numFmtId="0" fontId="9" fillId="4" borderId="11" xfId="3" applyFont="1" applyFill="1" applyBorder="1" applyAlignment="1">
      <alignment horizontal="center" vertical="center" wrapText="1"/>
    </xf>
    <xf numFmtId="0" fontId="9" fillId="4" borderId="12" xfId="3" applyFont="1" applyFill="1" applyBorder="1" applyAlignment="1">
      <alignment horizontal="center" vertical="center" wrapText="1"/>
    </xf>
    <xf numFmtId="0" fontId="8" fillId="4" borderId="13" xfId="3" applyFont="1" applyFill="1" applyBorder="1" applyAlignment="1">
      <alignment horizontal="center" vertical="center" wrapText="1"/>
    </xf>
    <xf numFmtId="0" fontId="10" fillId="5" borderId="14" xfId="3" applyFont="1" applyFill="1" applyBorder="1" applyAlignment="1">
      <alignment horizontal="center" vertical="center" wrapText="1"/>
    </xf>
    <xf numFmtId="0" fontId="8" fillId="4" borderId="4" xfId="3" applyFont="1" applyFill="1" applyBorder="1" applyAlignment="1">
      <alignment horizontal="center" vertical="center" wrapText="1"/>
    </xf>
    <xf numFmtId="0" fontId="8" fillId="4" borderId="15" xfId="3" applyFont="1" applyFill="1" applyBorder="1" applyAlignment="1">
      <alignment horizontal="center" vertical="center" wrapText="1"/>
    </xf>
    <xf numFmtId="0" fontId="8" fillId="4" borderId="4" xfId="3" applyFont="1" applyFill="1" applyBorder="1" applyAlignment="1">
      <alignment horizontal="center" vertical="center" wrapText="1"/>
    </xf>
    <xf numFmtId="0" fontId="4" fillId="6" borderId="4" xfId="2" applyFont="1" applyFill="1" applyBorder="1" applyAlignment="1">
      <alignment horizontal="center" vertical="center" wrapText="1"/>
    </xf>
    <xf numFmtId="0" fontId="11" fillId="4" borderId="16" xfId="3" applyFont="1" applyFill="1" applyBorder="1" applyAlignment="1">
      <alignment horizontal="center" vertical="center" wrapText="1"/>
    </xf>
    <xf numFmtId="0" fontId="8" fillId="4" borderId="16" xfId="3" applyFont="1" applyFill="1" applyBorder="1" applyAlignment="1">
      <alignment horizontal="center" vertical="center" wrapText="1"/>
    </xf>
    <xf numFmtId="0" fontId="8" fillId="4" borderId="17" xfId="3" applyFont="1" applyFill="1" applyBorder="1" applyAlignment="1">
      <alignment horizontal="center" vertical="center" wrapText="1"/>
    </xf>
    <xf numFmtId="0" fontId="8" fillId="4" borderId="18" xfId="3" applyFont="1" applyFill="1" applyBorder="1" applyAlignment="1">
      <alignment horizontal="center" vertical="center" wrapText="1"/>
    </xf>
    <xf numFmtId="0" fontId="8" fillId="4" borderId="19" xfId="3" applyFont="1" applyFill="1" applyBorder="1" applyAlignment="1">
      <alignment horizontal="center" vertical="center" wrapText="1"/>
    </xf>
    <xf numFmtId="0" fontId="8" fillId="4" borderId="2" xfId="3" applyFont="1" applyFill="1" applyBorder="1" applyAlignment="1">
      <alignment vertical="center" wrapText="1"/>
    </xf>
    <xf numFmtId="0" fontId="8" fillId="4" borderId="2" xfId="3" applyFont="1" applyFill="1" applyBorder="1" applyAlignment="1">
      <alignment vertical="center"/>
    </xf>
    <xf numFmtId="0" fontId="8" fillId="4" borderId="20" xfId="3" applyFont="1" applyFill="1" applyBorder="1" applyAlignment="1">
      <alignment horizontal="center" vertical="center" wrapText="1"/>
    </xf>
    <xf numFmtId="0" fontId="10" fillId="5" borderId="21" xfId="3" applyFont="1" applyFill="1" applyBorder="1" applyAlignment="1">
      <alignment horizontal="center" vertical="center" wrapText="1"/>
    </xf>
    <xf numFmtId="0" fontId="12" fillId="4" borderId="19" xfId="3" applyFont="1" applyFill="1" applyBorder="1" applyAlignment="1">
      <alignment horizontal="center" vertical="center" wrapText="1"/>
    </xf>
    <xf numFmtId="0" fontId="8" fillId="4" borderId="22" xfId="3" applyFont="1" applyFill="1" applyBorder="1" applyAlignment="1">
      <alignment horizontal="center" vertical="center" wrapText="1"/>
    </xf>
    <xf numFmtId="0" fontId="8" fillId="4" borderId="23" xfId="3" applyFont="1" applyFill="1" applyBorder="1" applyAlignment="1">
      <alignment horizontal="center" vertical="center" wrapText="1"/>
    </xf>
    <xf numFmtId="0" fontId="8" fillId="4" borderId="24" xfId="3" applyFont="1" applyFill="1" applyBorder="1" applyAlignment="1">
      <alignment horizontal="left" vertical="center" wrapText="1"/>
    </xf>
    <xf numFmtId="0" fontId="8" fillId="4" borderId="24"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5" fillId="7" borderId="25" xfId="3" applyFont="1" applyFill="1" applyBorder="1" applyAlignment="1">
      <alignment vertical="top" wrapText="1"/>
    </xf>
    <xf numFmtId="164" fontId="5" fillId="8" borderId="25" xfId="3" applyNumberFormat="1" applyFont="1" applyFill="1" applyBorder="1" applyAlignment="1">
      <alignment horizontal="center" vertical="center" wrapText="1"/>
    </xf>
    <xf numFmtId="165" fontId="5" fillId="9" borderId="2" xfId="4" applyNumberFormat="1" applyFont="1" applyFill="1" applyBorder="1" applyAlignment="1" applyProtection="1">
      <alignment vertical="top" wrapText="1"/>
    </xf>
    <xf numFmtId="43" fontId="5" fillId="10" borderId="2" xfId="1" applyFont="1" applyFill="1" applyBorder="1" applyAlignment="1">
      <alignment vertical="top" wrapText="1"/>
    </xf>
    <xf numFmtId="0" fontId="13" fillId="0" borderId="2" xfId="0" applyFont="1" applyBorder="1" applyAlignment="1">
      <alignment vertical="center" wrapText="1"/>
    </xf>
    <xf numFmtId="0" fontId="5" fillId="0" borderId="2" xfId="3" applyFont="1" applyFill="1" applyBorder="1" applyAlignment="1">
      <alignment vertical="center" wrapText="1"/>
    </xf>
    <xf numFmtId="43" fontId="5" fillId="8" borderId="2" xfId="1" applyFont="1" applyFill="1" applyBorder="1" applyAlignment="1" applyProtection="1">
      <alignment vertical="center" wrapText="1"/>
    </xf>
    <xf numFmtId="0" fontId="13" fillId="11" borderId="2" xfId="2" applyFont="1" applyFill="1" applyBorder="1" applyAlignment="1">
      <alignment horizontal="center" vertical="center" wrapText="1"/>
    </xf>
    <xf numFmtId="0" fontId="13" fillId="11" borderId="2" xfId="2" applyFont="1" applyFill="1" applyBorder="1" applyAlignment="1">
      <alignment horizontal="center" vertical="center"/>
    </xf>
    <xf numFmtId="43" fontId="13" fillId="12" borderId="2" xfId="1" applyFont="1" applyFill="1" applyBorder="1" applyAlignment="1">
      <alignment vertical="center"/>
    </xf>
    <xf numFmtId="43" fontId="13" fillId="13" borderId="2" xfId="1" applyFont="1" applyFill="1" applyBorder="1" applyAlignment="1">
      <alignment vertical="center"/>
    </xf>
    <xf numFmtId="0" fontId="5" fillId="8" borderId="2" xfId="3" applyFont="1" applyFill="1" applyBorder="1" applyAlignment="1">
      <alignment vertical="center" wrapText="1"/>
    </xf>
    <xf numFmtId="14" fontId="13" fillId="11" borderId="2" xfId="2" applyNumberFormat="1" applyFont="1" applyFill="1" applyBorder="1" applyAlignment="1">
      <alignment horizontal="center" vertical="center"/>
    </xf>
    <xf numFmtId="0" fontId="13" fillId="13" borderId="2" xfId="2" applyFont="1" applyFill="1" applyBorder="1" applyAlignment="1">
      <alignment vertical="center" wrapText="1"/>
    </xf>
    <xf numFmtId="0" fontId="13" fillId="11" borderId="2" xfId="2" applyFont="1" applyFill="1" applyBorder="1" applyAlignment="1">
      <alignment vertical="center"/>
    </xf>
    <xf numFmtId="43" fontId="5" fillId="14" borderId="2" xfId="1" applyFont="1" applyFill="1" applyBorder="1" applyAlignment="1" applyProtection="1">
      <alignment vertical="center" wrapText="1"/>
    </xf>
    <xf numFmtId="43" fontId="14" fillId="14" borderId="2" xfId="1" applyFont="1" applyFill="1" applyBorder="1" applyAlignment="1" applyProtection="1">
      <alignment vertical="center" wrapText="1"/>
    </xf>
    <xf numFmtId="165" fontId="5" fillId="9" borderId="2" xfId="4" applyNumberFormat="1" applyFont="1" applyFill="1" applyBorder="1" applyAlignment="1" applyProtection="1">
      <alignment vertical="center" wrapText="1"/>
    </xf>
    <xf numFmtId="0" fontId="5" fillId="15" borderId="2" xfId="3" applyFont="1" applyFill="1" applyBorder="1" applyAlignment="1">
      <alignment vertical="top" wrapText="1"/>
    </xf>
    <xf numFmtId="0" fontId="5" fillId="0" borderId="2" xfId="3" applyFont="1" applyFill="1" applyBorder="1" applyAlignment="1">
      <alignment horizontal="left" vertical="center" wrapText="1"/>
    </xf>
    <xf numFmtId="0" fontId="15" fillId="15" borderId="25" xfId="3" applyFont="1" applyFill="1" applyBorder="1" applyAlignment="1">
      <alignment vertical="top" wrapText="1"/>
    </xf>
    <xf numFmtId="164" fontId="5" fillId="16" borderId="25" xfId="3" applyNumberFormat="1" applyFont="1" applyFill="1" applyBorder="1" applyAlignment="1">
      <alignment horizontal="center" vertical="center" wrapText="1"/>
    </xf>
    <xf numFmtId="165" fontId="5" fillId="17" borderId="2" xfId="4" applyNumberFormat="1" applyFont="1" applyFill="1" applyBorder="1" applyAlignment="1" applyProtection="1">
      <alignment vertical="top" wrapText="1"/>
    </xf>
    <xf numFmtId="43" fontId="5" fillId="18" borderId="2" xfId="1" applyFont="1" applyFill="1" applyBorder="1" applyAlignment="1">
      <alignment vertical="top" wrapText="1"/>
    </xf>
    <xf numFmtId="0" fontId="16" fillId="0" borderId="2" xfId="0" applyFont="1" applyBorder="1" applyAlignment="1">
      <alignment vertical="center" wrapText="1"/>
    </xf>
    <xf numFmtId="43" fontId="5" fillId="16" borderId="2" xfId="1" applyFont="1" applyFill="1" applyBorder="1" applyAlignment="1" applyProtection="1">
      <alignment vertical="center" wrapText="1"/>
    </xf>
    <xf numFmtId="0" fontId="16" fillId="19" borderId="2" xfId="2" applyFont="1" applyFill="1" applyBorder="1" applyAlignment="1">
      <alignment horizontal="center" vertical="center" wrapText="1"/>
    </xf>
    <xf numFmtId="0" fontId="16" fillId="19" borderId="2" xfId="2" applyFont="1" applyFill="1" applyBorder="1" applyAlignment="1">
      <alignment horizontal="center" vertical="center"/>
    </xf>
    <xf numFmtId="43" fontId="16" fillId="20" borderId="2" xfId="1" applyFont="1" applyFill="1" applyBorder="1" applyAlignment="1">
      <alignment vertical="center"/>
    </xf>
    <xf numFmtId="43" fontId="16" fillId="21" borderId="2" xfId="1" applyFont="1" applyFill="1" applyBorder="1" applyAlignment="1">
      <alignment vertical="center"/>
    </xf>
    <xf numFmtId="0" fontId="5" fillId="16" borderId="2" xfId="3" applyFont="1" applyFill="1" applyBorder="1" applyAlignment="1">
      <alignment vertical="center" wrapText="1"/>
    </xf>
    <xf numFmtId="14" fontId="16" fillId="19" borderId="2" xfId="2" applyNumberFormat="1" applyFont="1" applyFill="1" applyBorder="1" applyAlignment="1">
      <alignment vertical="center"/>
    </xf>
    <xf numFmtId="0" fontId="16" fillId="21" borderId="2" xfId="2" applyFont="1" applyFill="1" applyBorder="1" applyAlignment="1">
      <alignment vertical="center" wrapText="1"/>
    </xf>
    <xf numFmtId="43" fontId="5" fillId="22" borderId="2" xfId="1" applyFont="1" applyFill="1" applyBorder="1" applyAlignment="1" applyProtection="1">
      <alignment vertical="center" wrapText="1"/>
    </xf>
    <xf numFmtId="43" fontId="14" fillId="22" borderId="2" xfId="1" applyFont="1" applyFill="1" applyBorder="1" applyAlignment="1" applyProtection="1">
      <alignment vertical="center" wrapText="1"/>
    </xf>
    <xf numFmtId="0" fontId="16" fillId="19" borderId="2" xfId="2" applyFont="1" applyFill="1" applyBorder="1" applyAlignment="1">
      <alignment vertical="center"/>
    </xf>
    <xf numFmtId="0" fontId="5" fillId="23" borderId="25" xfId="3" applyFont="1" applyFill="1" applyBorder="1" applyAlignment="1">
      <alignment vertical="top" wrapText="1"/>
    </xf>
    <xf numFmtId="164" fontId="5" fillId="23" borderId="25" xfId="3" applyNumberFormat="1" applyFont="1" applyFill="1" applyBorder="1" applyAlignment="1">
      <alignment horizontal="center" vertical="center" wrapText="1"/>
    </xf>
    <xf numFmtId="165" fontId="5" fillId="24" borderId="2" xfId="4" applyNumberFormat="1" applyFont="1" applyFill="1" applyBorder="1" applyAlignment="1" applyProtection="1">
      <alignment vertical="top" wrapText="1"/>
    </xf>
    <xf numFmtId="43" fontId="5" fillId="25" borderId="2" xfId="1" applyFont="1" applyFill="1" applyBorder="1" applyAlignment="1">
      <alignment vertical="top" wrapText="1"/>
    </xf>
    <xf numFmtId="0" fontId="5" fillId="20" borderId="2" xfId="3" applyFont="1" applyFill="1" applyBorder="1" applyAlignment="1">
      <alignment vertical="center" wrapText="1"/>
    </xf>
    <xf numFmtId="0" fontId="5" fillId="20" borderId="2" xfId="3" applyFont="1" applyFill="1" applyBorder="1" applyAlignment="1">
      <alignment horizontal="left" vertical="center" wrapText="1"/>
    </xf>
    <xf numFmtId="0" fontId="16" fillId="20" borderId="2" xfId="0" applyFont="1" applyFill="1" applyBorder="1" applyAlignment="1">
      <alignment vertical="center" wrapText="1"/>
    </xf>
    <xf numFmtId="43" fontId="5" fillId="23" borderId="2" xfId="1" applyFont="1" applyFill="1" applyBorder="1" applyAlignment="1" applyProtection="1">
      <alignment vertical="center" wrapText="1"/>
    </xf>
    <xf numFmtId="0" fontId="16" fillId="20" borderId="2" xfId="2" applyFont="1" applyFill="1" applyBorder="1" applyAlignment="1">
      <alignment horizontal="center" vertical="center" wrapText="1"/>
    </xf>
    <xf numFmtId="0" fontId="16" fillId="20" borderId="2" xfId="2" applyFont="1" applyFill="1" applyBorder="1" applyAlignment="1">
      <alignment horizontal="center" vertical="center"/>
    </xf>
    <xf numFmtId="43" fontId="14" fillId="23" borderId="2" xfId="1" applyFont="1" applyFill="1" applyBorder="1" applyAlignment="1" applyProtection="1">
      <alignment vertical="center" wrapText="1"/>
    </xf>
    <xf numFmtId="0" fontId="5" fillId="15" borderId="25" xfId="3" applyFont="1" applyFill="1" applyBorder="1" applyAlignment="1">
      <alignment vertical="top" wrapText="1"/>
    </xf>
    <xf numFmtId="165" fontId="5" fillId="17" borderId="2" xfId="4" applyNumberFormat="1" applyFont="1" applyFill="1" applyBorder="1" applyAlignment="1" applyProtection="1">
      <alignment horizontal="center" vertical="center" wrapText="1"/>
    </xf>
    <xf numFmtId="43" fontId="5" fillId="18" borderId="2" xfId="1" applyFont="1" applyFill="1" applyBorder="1" applyAlignment="1">
      <alignment horizontal="center" vertical="center" wrapText="1"/>
    </xf>
    <xf numFmtId="0" fontId="16" fillId="0" borderId="2" xfId="0" applyFont="1" applyBorder="1" applyAlignment="1">
      <alignment horizontal="center" vertical="center" wrapText="1"/>
    </xf>
    <xf numFmtId="0" fontId="5" fillId="0" borderId="2" xfId="3" applyFont="1" applyFill="1" applyBorder="1" applyAlignment="1">
      <alignment horizontal="center" vertical="center" wrapText="1"/>
    </xf>
    <xf numFmtId="165" fontId="5" fillId="24" borderId="2" xfId="4" applyNumberFormat="1" applyFont="1" applyFill="1" applyBorder="1" applyAlignment="1" applyProtection="1">
      <alignment horizontal="center" vertical="center" wrapText="1"/>
    </xf>
    <xf numFmtId="43" fontId="5" fillId="25" borderId="2" xfId="1" applyFont="1" applyFill="1" applyBorder="1" applyAlignment="1">
      <alignment horizontal="center" vertical="center" wrapText="1"/>
    </xf>
    <xf numFmtId="0" fontId="16" fillId="20" borderId="2" xfId="0" applyFont="1" applyFill="1" applyBorder="1" applyAlignment="1">
      <alignment horizontal="center" vertical="center" wrapText="1"/>
    </xf>
    <xf numFmtId="0" fontId="5" fillId="20" borderId="2" xfId="3" applyFont="1" applyFill="1" applyBorder="1" applyAlignment="1">
      <alignment horizontal="center" vertical="center" wrapText="1"/>
    </xf>
    <xf numFmtId="0" fontId="16" fillId="21" borderId="2" xfId="2" applyFont="1" applyFill="1" applyBorder="1" applyAlignment="1">
      <alignment horizontal="center" vertical="center" wrapText="1"/>
    </xf>
    <xf numFmtId="0" fontId="5" fillId="0" borderId="2" xfId="3" applyFont="1" applyFill="1" applyBorder="1" applyAlignment="1">
      <alignment vertical="top" wrapText="1"/>
    </xf>
    <xf numFmtId="0" fontId="17" fillId="0" borderId="10" xfId="0" applyFont="1" applyBorder="1" applyAlignment="1">
      <alignment vertical="top" wrapText="1"/>
    </xf>
    <xf numFmtId="0" fontId="16" fillId="20" borderId="2" xfId="2" applyFont="1" applyFill="1" applyBorder="1" applyAlignment="1">
      <alignment vertical="center"/>
    </xf>
    <xf numFmtId="43" fontId="18" fillId="20" borderId="2" xfId="2" applyNumberFormat="1" applyFont="1" applyFill="1" applyBorder="1" applyAlignment="1">
      <alignment vertical="center"/>
    </xf>
    <xf numFmtId="0" fontId="5" fillId="15" borderId="25" xfId="3" applyFont="1" applyFill="1" applyBorder="1" applyAlignment="1">
      <alignment horizontal="left" vertical="center" wrapText="1"/>
    </xf>
    <xf numFmtId="165" fontId="5" fillId="17" borderId="2" xfId="4" applyNumberFormat="1" applyFont="1" applyFill="1" applyBorder="1" applyAlignment="1" applyProtection="1">
      <alignment horizontal="left" vertical="center" wrapText="1"/>
    </xf>
    <xf numFmtId="43" fontId="5" fillId="26" borderId="2" xfId="3" applyNumberFormat="1" applyFont="1" applyFill="1" applyBorder="1" applyAlignment="1">
      <alignment horizontal="left" vertical="center" wrapText="1"/>
    </xf>
    <xf numFmtId="0" fontId="5" fillId="26" borderId="2" xfId="3" applyFont="1" applyFill="1" applyBorder="1" applyAlignment="1">
      <alignment horizontal="left" vertical="center" wrapText="1"/>
    </xf>
    <xf numFmtId="43" fontId="5" fillId="26" borderId="26" xfId="3" applyNumberFormat="1" applyFont="1" applyFill="1" applyBorder="1" applyAlignment="1">
      <alignment horizontal="left" vertical="center" wrapText="1"/>
    </xf>
    <xf numFmtId="0" fontId="5" fillId="26" borderId="26" xfId="3" applyFont="1" applyFill="1" applyBorder="1" applyAlignment="1">
      <alignment horizontal="left" vertical="center" wrapText="1"/>
    </xf>
    <xf numFmtId="0" fontId="5" fillId="23" borderId="25" xfId="3" applyFont="1" applyFill="1" applyBorder="1" applyAlignment="1">
      <alignment horizontal="left" vertical="center" wrapText="1"/>
    </xf>
    <xf numFmtId="165" fontId="5" fillId="24" borderId="2" xfId="4" applyNumberFormat="1" applyFont="1" applyFill="1" applyBorder="1" applyAlignment="1" applyProtection="1">
      <alignment horizontal="left" vertical="center" wrapText="1"/>
    </xf>
    <xf numFmtId="43" fontId="5" fillId="27" borderId="10" xfId="3" applyNumberFormat="1" applyFont="1" applyFill="1" applyBorder="1" applyAlignment="1">
      <alignment horizontal="left" vertical="center" wrapText="1"/>
    </xf>
    <xf numFmtId="0" fontId="5" fillId="27" borderId="2" xfId="3" applyFont="1" applyFill="1" applyBorder="1" applyAlignment="1">
      <alignment horizontal="left" vertical="center" wrapText="1"/>
    </xf>
    <xf numFmtId="0" fontId="16" fillId="0" borderId="26" xfId="2" applyFont="1" applyBorder="1" applyAlignment="1">
      <alignment horizontal="center" vertical="center" wrapText="1"/>
    </xf>
    <xf numFmtId="164" fontId="5" fillId="16" borderId="27" xfId="3" applyNumberFormat="1" applyFont="1" applyFill="1" applyBorder="1" applyAlignment="1">
      <alignment horizontal="center" vertical="center" wrapText="1"/>
    </xf>
    <xf numFmtId="49" fontId="16" fillId="0" borderId="26"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6" fillId="0" borderId="26" xfId="0" applyFont="1" applyBorder="1" applyAlignment="1">
      <alignment horizontal="center" vertical="center" wrapText="1"/>
    </xf>
    <xf numFmtId="43" fontId="5" fillId="16" borderId="26" xfId="1" applyFont="1" applyFill="1" applyBorder="1" applyAlignment="1" applyProtection="1">
      <alignment horizontal="center" vertical="center" wrapText="1"/>
    </xf>
    <xf numFmtId="0" fontId="16" fillId="19" borderId="26" xfId="2" applyFont="1" applyFill="1" applyBorder="1" applyAlignment="1">
      <alignment horizontal="center" vertical="center" wrapText="1"/>
    </xf>
    <xf numFmtId="0" fontId="16" fillId="19" borderId="26" xfId="2" applyFont="1" applyFill="1" applyBorder="1" applyAlignment="1">
      <alignment horizontal="center" vertical="center"/>
    </xf>
    <xf numFmtId="43" fontId="16" fillId="20" borderId="26" xfId="1" applyFont="1" applyFill="1" applyBorder="1" applyAlignment="1">
      <alignment horizontal="center" vertical="center"/>
    </xf>
    <xf numFmtId="43" fontId="16" fillId="21" borderId="26" xfId="1" applyFont="1" applyFill="1" applyBorder="1" applyAlignment="1">
      <alignment horizontal="center" vertical="center"/>
    </xf>
    <xf numFmtId="0" fontId="5" fillId="16" borderId="26" xfId="3" applyFont="1" applyFill="1" applyBorder="1" applyAlignment="1">
      <alignment horizontal="center" vertical="center" wrapText="1"/>
    </xf>
    <xf numFmtId="14" fontId="16" fillId="19" borderId="26" xfId="2" applyNumberFormat="1" applyFont="1" applyFill="1" applyBorder="1" applyAlignment="1">
      <alignment horizontal="center" vertical="center"/>
    </xf>
    <xf numFmtId="0" fontId="16" fillId="21" borderId="26" xfId="2" applyFont="1" applyFill="1" applyBorder="1" applyAlignment="1">
      <alignment horizontal="center" vertical="center" wrapText="1"/>
    </xf>
    <xf numFmtId="43" fontId="5" fillId="22" borderId="26" xfId="1" applyFont="1" applyFill="1" applyBorder="1" applyAlignment="1" applyProtection="1">
      <alignment horizontal="center" vertical="center" wrapText="1"/>
    </xf>
    <xf numFmtId="43" fontId="14" fillId="22" borderId="26" xfId="1" applyFont="1" applyFill="1" applyBorder="1" applyAlignment="1" applyProtection="1">
      <alignment horizontal="center" vertical="center" wrapText="1"/>
    </xf>
    <xf numFmtId="0" fontId="17" fillId="20" borderId="10" xfId="0" applyFont="1" applyFill="1" applyBorder="1" applyAlignment="1">
      <alignment horizontal="center" vertical="center" wrapText="1"/>
    </xf>
    <xf numFmtId="43" fontId="5" fillId="23" borderId="2" xfId="1" applyFont="1" applyFill="1" applyBorder="1" applyAlignment="1" applyProtection="1">
      <alignment horizontal="center" vertical="center" wrapText="1"/>
    </xf>
    <xf numFmtId="43" fontId="16" fillId="20" borderId="2" xfId="1" applyFont="1" applyFill="1" applyBorder="1" applyAlignment="1">
      <alignment horizontal="center" vertical="center"/>
    </xf>
    <xf numFmtId="0" fontId="5" fillId="23" borderId="2" xfId="3" applyFont="1" applyFill="1" applyBorder="1" applyAlignment="1">
      <alignment horizontal="center" vertical="center" wrapText="1"/>
    </xf>
    <xf numFmtId="14" fontId="16" fillId="20" borderId="2" xfId="2" applyNumberFormat="1" applyFont="1" applyFill="1" applyBorder="1" applyAlignment="1">
      <alignment horizontal="center" vertical="center"/>
    </xf>
    <xf numFmtId="43" fontId="5" fillId="20" borderId="2" xfId="1" applyFont="1" applyFill="1" applyBorder="1" applyAlignment="1" applyProtection="1">
      <alignment horizontal="center" vertical="center" wrapText="1"/>
    </xf>
    <xf numFmtId="43" fontId="14" fillId="20" borderId="26" xfId="1" applyFont="1" applyFill="1" applyBorder="1" applyAlignment="1" applyProtection="1">
      <alignment horizontal="center" vertical="center" wrapText="1"/>
    </xf>
    <xf numFmtId="0" fontId="2" fillId="0" borderId="0" xfId="2" applyAlignment="1">
      <alignment wrapText="1"/>
    </xf>
    <xf numFmtId="0" fontId="16" fillId="0" borderId="2" xfId="2" applyFont="1" applyBorder="1" applyAlignment="1">
      <alignment horizontal="center" vertical="center" wrapText="1"/>
    </xf>
    <xf numFmtId="0" fontId="17" fillId="0" borderId="10" xfId="0" applyFont="1" applyBorder="1" applyAlignment="1">
      <alignment horizontal="center" vertical="center" wrapText="1"/>
    </xf>
    <xf numFmtId="43" fontId="5" fillId="16" borderId="2" xfId="1" applyFont="1" applyFill="1" applyBorder="1" applyAlignment="1" applyProtection="1">
      <alignment horizontal="center" vertical="center" wrapText="1"/>
    </xf>
    <xf numFmtId="43" fontId="16" fillId="21" borderId="2" xfId="1" applyFont="1" applyFill="1" applyBorder="1" applyAlignment="1">
      <alignment horizontal="center" vertical="center"/>
    </xf>
    <xf numFmtId="0" fontId="5" fillId="16" borderId="2" xfId="3" applyFont="1" applyFill="1" applyBorder="1" applyAlignment="1">
      <alignment horizontal="center" vertical="center" wrapText="1"/>
    </xf>
    <xf numFmtId="14" fontId="16" fillId="19" borderId="2" xfId="2" applyNumberFormat="1" applyFont="1" applyFill="1" applyBorder="1" applyAlignment="1">
      <alignment horizontal="center" vertical="center"/>
    </xf>
    <xf numFmtId="43" fontId="5" fillId="22" borderId="2" xfId="1" applyFont="1" applyFill="1" applyBorder="1" applyAlignment="1" applyProtection="1">
      <alignment horizontal="center" vertical="center" wrapText="1"/>
    </xf>
    <xf numFmtId="43" fontId="2" fillId="0" borderId="0" xfId="2" applyNumberFormat="1"/>
    <xf numFmtId="0" fontId="2" fillId="0" borderId="2" xfId="2" applyBorder="1" applyAlignment="1">
      <alignment horizontal="center" vertical="center"/>
    </xf>
    <xf numFmtId="0" fontId="19" fillId="20" borderId="25" xfId="2" applyFont="1" applyFill="1" applyBorder="1" applyAlignment="1">
      <alignment horizontal="center" vertical="center"/>
    </xf>
    <xf numFmtId="0" fontId="19" fillId="20" borderId="2" xfId="2" applyFont="1" applyFill="1" applyBorder="1" applyAlignment="1">
      <alignment horizontal="center" vertical="center"/>
    </xf>
    <xf numFmtId="43" fontId="20" fillId="20" borderId="2" xfId="2" applyNumberFormat="1" applyFont="1" applyFill="1" applyBorder="1" applyAlignment="1">
      <alignment horizontal="center" vertical="center"/>
    </xf>
    <xf numFmtId="164" fontId="5" fillId="16" borderId="25" xfId="3" applyNumberFormat="1" applyFont="1" applyFill="1" applyBorder="1" applyAlignment="1">
      <alignment vertical="center" wrapText="1"/>
    </xf>
    <xf numFmtId="43" fontId="16" fillId="0" borderId="2" xfId="1" applyFont="1" applyBorder="1" applyAlignment="1">
      <alignment vertical="top" wrapText="1"/>
    </xf>
    <xf numFmtId="0" fontId="16" fillId="0" borderId="2" xfId="2" applyFont="1" applyBorder="1" applyAlignment="1">
      <alignment vertical="center"/>
    </xf>
    <xf numFmtId="0" fontId="16" fillId="20" borderId="25" xfId="2" applyFont="1" applyFill="1" applyBorder="1" applyAlignment="1">
      <alignment vertical="center"/>
    </xf>
    <xf numFmtId="0" fontId="16" fillId="0" borderId="25" xfId="0" applyFont="1" applyBorder="1" applyAlignment="1">
      <alignment vertical="center" wrapText="1"/>
    </xf>
    <xf numFmtId="0" fontId="16" fillId="0" borderId="2" xfId="0" applyFont="1" applyBorder="1" applyAlignment="1">
      <alignment horizontal="left" vertical="top" wrapText="1"/>
    </xf>
    <xf numFmtId="0" fontId="17" fillId="0" borderId="28" xfId="0" applyFont="1" applyBorder="1" applyAlignment="1">
      <alignment vertical="top" wrapText="1"/>
    </xf>
    <xf numFmtId="9" fontId="5" fillId="0" borderId="29" xfId="3" applyNumberFormat="1" applyFont="1" applyFill="1" applyBorder="1" applyAlignment="1">
      <alignment horizontal="center" vertical="center" wrapText="1"/>
    </xf>
    <xf numFmtId="0" fontId="5" fillId="0" borderId="29" xfId="3" applyFont="1" applyFill="1" applyBorder="1" applyAlignment="1">
      <alignment vertical="center" wrapText="1"/>
    </xf>
    <xf numFmtId="0" fontId="16" fillId="0" borderId="29" xfId="0" applyFont="1" applyBorder="1" applyAlignment="1">
      <alignment vertical="center" wrapText="1"/>
    </xf>
    <xf numFmtId="43" fontId="5" fillId="16" borderId="29" xfId="1" applyFont="1" applyFill="1" applyBorder="1" applyAlignment="1" applyProtection="1">
      <alignment vertical="center" wrapText="1"/>
    </xf>
    <xf numFmtId="0" fontId="16" fillId="19" borderId="29" xfId="2" applyFont="1" applyFill="1" applyBorder="1" applyAlignment="1">
      <alignment horizontal="center" vertical="center" wrapText="1"/>
    </xf>
    <xf numFmtId="0" fontId="16" fillId="19" borderId="29" xfId="2" applyFont="1" applyFill="1" applyBorder="1" applyAlignment="1">
      <alignment horizontal="center" vertical="center"/>
    </xf>
    <xf numFmtId="43" fontId="16" fillId="20" borderId="29" xfId="1" applyFont="1" applyFill="1" applyBorder="1" applyAlignment="1">
      <alignment vertical="center"/>
    </xf>
    <xf numFmtId="43" fontId="16" fillId="21" borderId="29" xfId="1" applyFont="1" applyFill="1" applyBorder="1" applyAlignment="1">
      <alignment vertical="center"/>
    </xf>
    <xf numFmtId="0" fontId="5" fillId="16" borderId="29" xfId="3" applyFont="1" applyFill="1" applyBorder="1" applyAlignment="1">
      <alignment vertical="center" wrapText="1"/>
    </xf>
    <xf numFmtId="14" fontId="16" fillId="19" borderId="29" xfId="2" applyNumberFormat="1" applyFont="1" applyFill="1" applyBorder="1" applyAlignment="1">
      <alignment vertical="center"/>
    </xf>
    <xf numFmtId="0" fontId="16" fillId="21" borderId="29" xfId="2" applyFont="1" applyFill="1" applyBorder="1" applyAlignment="1">
      <alignment vertical="center" wrapText="1"/>
    </xf>
    <xf numFmtId="0" fontId="16" fillId="19" borderId="29" xfId="2" applyFont="1" applyFill="1" applyBorder="1" applyAlignment="1">
      <alignment vertical="center" wrapText="1"/>
    </xf>
    <xf numFmtId="43" fontId="5" fillId="22" borderId="29" xfId="1" applyFont="1" applyFill="1" applyBorder="1" applyAlignment="1" applyProtection="1">
      <alignment vertical="center" wrapText="1"/>
    </xf>
    <xf numFmtId="43" fontId="14" fillId="22" borderId="29" xfId="1" applyFont="1" applyFill="1" applyBorder="1" applyAlignment="1" applyProtection="1">
      <alignment vertical="center" wrapText="1"/>
    </xf>
    <xf numFmtId="0" fontId="5" fillId="0" borderId="29" xfId="3" applyFont="1" applyFill="1" applyBorder="1" applyAlignment="1">
      <alignment horizontal="center" vertical="center" wrapText="1"/>
    </xf>
    <xf numFmtId="164" fontId="5" fillId="16" borderId="30" xfId="3" applyNumberFormat="1" applyFont="1" applyFill="1" applyBorder="1" applyAlignment="1">
      <alignment horizontal="center" vertical="center" wrapText="1"/>
    </xf>
    <xf numFmtId="0" fontId="16" fillId="0" borderId="29" xfId="0" applyFont="1" applyBorder="1" applyAlignment="1">
      <alignment vertical="top" wrapText="1"/>
    </xf>
    <xf numFmtId="0" fontId="16" fillId="20" borderId="29" xfId="2" applyFont="1" applyFill="1" applyBorder="1" applyAlignment="1">
      <alignment vertical="center"/>
    </xf>
    <xf numFmtId="0" fontId="16" fillId="20" borderId="30" xfId="2" applyFont="1" applyFill="1" applyBorder="1" applyAlignment="1">
      <alignment vertical="center"/>
    </xf>
    <xf numFmtId="43" fontId="18" fillId="20" borderId="29" xfId="2" applyNumberFormat="1" applyFont="1" applyFill="1" applyBorder="1" applyAlignment="1">
      <alignment vertical="center"/>
    </xf>
    <xf numFmtId="0" fontId="5" fillId="15" borderId="29" xfId="3" applyFont="1" applyFill="1" applyBorder="1" applyAlignment="1">
      <alignment horizontal="center" vertical="center" wrapText="1"/>
    </xf>
    <xf numFmtId="0" fontId="16" fillId="28" borderId="29" xfId="2" applyFont="1" applyFill="1" applyBorder="1" applyAlignment="1">
      <alignment horizontal="center" vertical="center" wrapText="1"/>
    </xf>
    <xf numFmtId="0" fontId="17" fillId="28" borderId="29" xfId="0" applyFont="1" applyFill="1" applyBorder="1" applyAlignment="1">
      <alignment horizontal="center" vertical="center" wrapText="1"/>
    </xf>
    <xf numFmtId="0" fontId="13" fillId="28" borderId="29" xfId="0" applyFont="1" applyFill="1" applyBorder="1" applyAlignment="1">
      <alignment horizontal="center" vertical="center" wrapText="1"/>
    </xf>
    <xf numFmtId="0" fontId="5" fillId="28" borderId="29" xfId="3" applyFont="1" applyFill="1" applyBorder="1" applyAlignment="1">
      <alignment horizontal="center" vertical="center" wrapText="1"/>
    </xf>
    <xf numFmtId="0" fontId="16" fillId="28" borderId="29" xfId="0" applyFont="1" applyFill="1" applyBorder="1" applyAlignment="1">
      <alignment horizontal="center" vertical="center" wrapText="1"/>
    </xf>
    <xf numFmtId="0" fontId="17" fillId="28" borderId="29" xfId="0" applyFont="1" applyFill="1" applyBorder="1" applyAlignment="1">
      <alignment horizontal="center" vertical="center" wrapText="1" shrinkToFit="1"/>
    </xf>
    <xf numFmtId="0" fontId="17" fillId="28" borderId="29" xfId="0" applyFont="1" applyFill="1" applyBorder="1" applyAlignment="1">
      <alignment horizontal="center" vertical="center"/>
    </xf>
    <xf numFmtId="165" fontId="5" fillId="17" borderId="29" xfId="4" applyNumberFormat="1" applyFont="1" applyFill="1" applyBorder="1" applyAlignment="1" applyProtection="1">
      <alignment horizontal="center" vertical="center" wrapText="1"/>
    </xf>
    <xf numFmtId="165" fontId="5" fillId="28" borderId="29" xfId="4" applyNumberFormat="1" applyFont="1" applyFill="1" applyBorder="1" applyAlignment="1" applyProtection="1">
      <alignment horizontal="center" vertical="center" wrapText="1"/>
    </xf>
    <xf numFmtId="43" fontId="5" fillId="29" borderId="29" xfId="1" applyFont="1" applyFill="1" applyBorder="1" applyAlignment="1">
      <alignment horizontal="center" vertical="center" wrapText="1"/>
    </xf>
    <xf numFmtId="0" fontId="5" fillId="29" borderId="29" xfId="3" applyFont="1" applyFill="1" applyBorder="1" applyAlignment="1">
      <alignment horizontal="center" vertical="center" wrapText="1"/>
    </xf>
    <xf numFmtId="43" fontId="5" fillId="28" borderId="29" xfId="1" applyFont="1" applyFill="1" applyBorder="1" applyAlignment="1">
      <alignment horizontal="center" vertical="center" wrapText="1"/>
    </xf>
    <xf numFmtId="0" fontId="16" fillId="0" borderId="29" xfId="2" applyFont="1" applyBorder="1" applyAlignment="1">
      <alignment vertical="center"/>
    </xf>
    <xf numFmtId="0" fontId="5" fillId="15" borderId="30" xfId="3" applyFont="1" applyFill="1" applyBorder="1" applyAlignment="1">
      <alignment vertical="center" wrapText="1"/>
    </xf>
    <xf numFmtId="164" fontId="5" fillId="16" borderId="30" xfId="3" applyNumberFormat="1" applyFont="1" applyFill="1" applyBorder="1" applyAlignment="1">
      <alignment vertical="center" wrapText="1"/>
    </xf>
    <xf numFmtId="43" fontId="5" fillId="29" borderId="29" xfId="1" applyFont="1" applyFill="1" applyBorder="1" applyAlignment="1">
      <alignment vertical="center" wrapText="1"/>
    </xf>
    <xf numFmtId="0" fontId="16" fillId="19" borderId="29" xfId="2" applyFont="1" applyFill="1" applyBorder="1" applyAlignment="1">
      <alignment vertical="center"/>
    </xf>
    <xf numFmtId="0" fontId="17" fillId="22" borderId="0" xfId="0" applyFont="1" applyFill="1" applyAlignment="1">
      <alignment vertical="center"/>
    </xf>
    <xf numFmtId="0" fontId="16" fillId="22" borderId="26" xfId="2" applyFont="1" applyFill="1" applyBorder="1"/>
    <xf numFmtId="0" fontId="16" fillId="22" borderId="0" xfId="2" applyFont="1" applyFill="1"/>
    <xf numFmtId="0" fontId="13" fillId="22" borderId="0" xfId="0" applyFont="1" applyFill="1" applyAlignment="1">
      <alignment vertical="center"/>
    </xf>
    <xf numFmtId="0" fontId="17" fillId="22" borderId="26" xfId="0" applyFont="1" applyFill="1" applyBorder="1" applyAlignment="1">
      <alignment vertical="center"/>
    </xf>
    <xf numFmtId="0" fontId="13" fillId="22" borderId="26" xfId="0" applyFont="1" applyFill="1" applyBorder="1"/>
    <xf numFmtId="0" fontId="13" fillId="14" borderId="0" xfId="0" applyFont="1" applyFill="1" applyAlignment="1">
      <alignment vertical="center"/>
    </xf>
    <xf numFmtId="164" fontId="5" fillId="16" borderId="29" xfId="3" applyNumberFormat="1" applyFont="1" applyFill="1" applyBorder="1" applyAlignment="1">
      <alignment vertical="center" wrapText="1"/>
    </xf>
    <xf numFmtId="0" fontId="16" fillId="0" borderId="0" xfId="2" applyFont="1" applyFill="1" applyAlignment="1">
      <alignment horizontal="center"/>
    </xf>
    <xf numFmtId="0" fontId="16" fillId="0" borderId="29" xfId="2" applyFont="1" applyBorder="1" applyAlignment="1">
      <alignment horizontal="justify" vertical="center"/>
    </xf>
    <xf numFmtId="166" fontId="16" fillId="28" borderId="29" xfId="0" applyNumberFormat="1" applyFont="1" applyFill="1" applyBorder="1" applyAlignment="1">
      <alignment horizontal="center" vertical="center" wrapText="1"/>
    </xf>
    <xf numFmtId="4" fontId="16" fillId="22" borderId="29" xfId="0" applyNumberFormat="1" applyFont="1" applyFill="1" applyBorder="1" applyAlignment="1">
      <alignment vertical="center" wrapText="1"/>
    </xf>
    <xf numFmtId="0" fontId="16" fillId="20" borderId="29" xfId="2" applyFont="1" applyFill="1" applyBorder="1"/>
    <xf numFmtId="43" fontId="18" fillId="20" borderId="29" xfId="1" applyFont="1" applyFill="1" applyBorder="1" applyAlignment="1">
      <alignment vertical="center"/>
    </xf>
    <xf numFmtId="0" fontId="5" fillId="15" borderId="30" xfId="3" applyFont="1" applyFill="1" applyBorder="1" applyAlignment="1">
      <alignment vertical="top" wrapText="1"/>
    </xf>
    <xf numFmtId="165" fontId="5" fillId="17" borderId="29" xfId="4" applyNumberFormat="1" applyFont="1" applyFill="1" applyBorder="1" applyAlignment="1" applyProtection="1">
      <alignment vertical="top" wrapText="1"/>
    </xf>
    <xf numFmtId="0" fontId="16" fillId="28" borderId="29" xfId="0" applyFont="1" applyFill="1" applyBorder="1" applyAlignment="1">
      <alignment vertical="top" wrapText="1"/>
    </xf>
    <xf numFmtId="0" fontId="5" fillId="28" borderId="29" xfId="3" applyFont="1" applyFill="1" applyBorder="1" applyAlignment="1">
      <alignment vertical="top" wrapText="1"/>
    </xf>
    <xf numFmtId="43" fontId="5" fillId="29" borderId="29" xfId="1" applyFont="1" applyFill="1" applyBorder="1" applyAlignment="1">
      <alignment vertical="top" wrapText="1"/>
    </xf>
    <xf numFmtId="0" fontId="16" fillId="21" borderId="29" xfId="2" applyFont="1" applyFill="1" applyBorder="1" applyAlignment="1">
      <alignment horizontal="center" vertical="center" wrapText="1"/>
    </xf>
    <xf numFmtId="0" fontId="5" fillId="15" borderId="29" xfId="3" applyFont="1" applyFill="1" applyBorder="1" applyAlignment="1">
      <alignment vertical="top" wrapText="1"/>
    </xf>
    <xf numFmtId="0" fontId="16" fillId="28" borderId="0" xfId="2" applyFont="1" applyFill="1" applyAlignment="1">
      <alignment vertical="top" wrapText="1"/>
    </xf>
    <xf numFmtId="0" fontId="5" fillId="28" borderId="31" xfId="3" applyFont="1" applyFill="1" applyBorder="1" applyAlignment="1">
      <alignment vertical="top" wrapText="1"/>
    </xf>
    <xf numFmtId="0" fontId="17" fillId="28" borderId="29" xfId="0" applyFont="1" applyFill="1" applyBorder="1" applyAlignment="1">
      <alignment vertical="top" wrapText="1"/>
    </xf>
    <xf numFmtId="0" fontId="5" fillId="29" borderId="31" xfId="3" applyFont="1" applyFill="1" applyBorder="1" applyAlignment="1">
      <alignment vertical="top" wrapText="1"/>
    </xf>
    <xf numFmtId="0" fontId="17" fillId="28" borderId="31" xfId="0" applyFont="1" applyFill="1" applyBorder="1" applyAlignment="1">
      <alignment vertical="top" wrapText="1"/>
    </xf>
    <xf numFmtId="0" fontId="5" fillId="29" borderId="29" xfId="3" applyFont="1" applyFill="1" applyBorder="1" applyAlignment="1">
      <alignment vertical="top" wrapText="1"/>
    </xf>
    <xf numFmtId="0" fontId="15" fillId="15" borderId="30" xfId="3" applyFont="1" applyFill="1" applyBorder="1" applyAlignment="1">
      <alignment vertical="top" wrapText="1"/>
    </xf>
    <xf numFmtId="43" fontId="5" fillId="18" borderId="29" xfId="1" applyFont="1" applyFill="1" applyBorder="1" applyAlignment="1">
      <alignment vertical="top" wrapText="1"/>
    </xf>
    <xf numFmtId="0" fontId="5" fillId="0" borderId="29" xfId="3" applyFont="1" applyFill="1" applyBorder="1" applyAlignment="1">
      <alignment vertical="top" wrapText="1"/>
    </xf>
    <xf numFmtId="0" fontId="5" fillId="23" borderId="6" xfId="3" applyFont="1" applyFill="1" applyBorder="1" applyAlignment="1">
      <alignment vertical="top" wrapText="1"/>
    </xf>
    <xf numFmtId="164" fontId="5" fillId="23" borderId="30" xfId="3" applyNumberFormat="1" applyFont="1" applyFill="1" applyBorder="1" applyAlignment="1">
      <alignment vertical="center" wrapText="1"/>
    </xf>
    <xf numFmtId="0" fontId="5" fillId="25" borderId="31" xfId="3" applyFont="1" applyFill="1" applyBorder="1" applyAlignment="1">
      <alignment vertical="top" wrapText="1"/>
    </xf>
    <xf numFmtId="0" fontId="5" fillId="20" borderId="31" xfId="3" applyFont="1" applyFill="1" applyBorder="1" applyAlignment="1">
      <alignment vertical="top" wrapText="1"/>
    </xf>
    <xf numFmtId="0" fontId="16" fillId="20" borderId="31" xfId="0" applyFont="1" applyFill="1" applyBorder="1" applyAlignment="1">
      <alignment vertical="top" wrapText="1"/>
    </xf>
    <xf numFmtId="0" fontId="16" fillId="20" borderId="29" xfId="0" applyFont="1" applyFill="1" applyBorder="1" applyAlignment="1">
      <alignment vertical="top" wrapText="1"/>
    </xf>
    <xf numFmtId="43" fontId="14" fillId="23" borderId="29" xfId="1" applyFont="1" applyFill="1" applyBorder="1" applyAlignment="1" applyProtection="1">
      <alignment vertical="center" wrapText="1"/>
    </xf>
    <xf numFmtId="0" fontId="5" fillId="15" borderId="6" xfId="3" applyFont="1" applyFill="1" applyBorder="1" applyAlignment="1">
      <alignment horizontal="center" vertical="center" wrapText="1"/>
    </xf>
    <xf numFmtId="165" fontId="5" fillId="28" borderId="31" xfId="4" applyNumberFormat="1" applyFont="1" applyFill="1" applyBorder="1" applyAlignment="1" applyProtection="1">
      <alignment horizontal="center" vertical="center" wrapText="1"/>
    </xf>
    <xf numFmtId="43" fontId="5" fillId="28" borderId="31" xfId="1" applyFont="1" applyFill="1" applyBorder="1" applyAlignment="1">
      <alignment horizontal="center" vertical="center" wrapText="1"/>
    </xf>
    <xf numFmtId="9" fontId="16" fillId="28" borderId="31" xfId="0" applyNumberFormat="1" applyFont="1" applyFill="1" applyBorder="1" applyAlignment="1">
      <alignment horizontal="center" vertical="center" wrapText="1"/>
    </xf>
    <xf numFmtId="0" fontId="17" fillId="28" borderId="31" xfId="0" applyFont="1" applyFill="1" applyBorder="1" applyAlignment="1">
      <alignment horizontal="center" vertical="center" wrapText="1"/>
    </xf>
    <xf numFmtId="0" fontId="5" fillId="26" borderId="31" xfId="3" applyFont="1" applyFill="1" applyBorder="1" applyAlignment="1">
      <alignment horizontal="center" vertical="center" wrapText="1"/>
    </xf>
    <xf numFmtId="0" fontId="5" fillId="26" borderId="29" xfId="3" applyFont="1" applyFill="1" applyBorder="1" applyAlignment="1">
      <alignment horizontal="center" vertical="center" wrapText="1"/>
    </xf>
    <xf numFmtId="43" fontId="5" fillId="29" borderId="31" xfId="1" applyFont="1" applyFill="1" applyBorder="1" applyAlignment="1">
      <alignment horizontal="center" vertical="top" wrapText="1"/>
    </xf>
    <xf numFmtId="9" fontId="5" fillId="28" borderId="31" xfId="3" applyNumberFormat="1" applyFont="1" applyFill="1" applyBorder="1" applyAlignment="1">
      <alignment horizontal="center" vertical="center" wrapText="1"/>
    </xf>
    <xf numFmtId="0" fontId="5" fillId="28" borderId="31" xfId="3" applyFont="1" applyFill="1" applyBorder="1" applyAlignment="1">
      <alignment horizontal="center" vertical="center" wrapText="1"/>
    </xf>
    <xf numFmtId="0" fontId="5" fillId="28" borderId="29" xfId="3" applyFont="1" applyFill="1" applyBorder="1" applyAlignment="1">
      <alignment vertical="center" wrapText="1"/>
    </xf>
    <xf numFmtId="0" fontId="16" fillId="28" borderId="29" xfId="0" applyFont="1" applyFill="1" applyBorder="1" applyAlignment="1">
      <alignment vertical="center" wrapText="1"/>
    </xf>
    <xf numFmtId="0" fontId="16" fillId="28" borderId="31" xfId="0" applyFont="1" applyFill="1" applyBorder="1" applyAlignment="1">
      <alignment horizontal="center" vertical="center" wrapText="1"/>
    </xf>
    <xf numFmtId="0" fontId="16" fillId="28" borderId="31" xfId="2" applyFont="1" applyFill="1" applyBorder="1" applyAlignment="1">
      <alignment horizontal="center" vertical="center" wrapText="1"/>
    </xf>
    <xf numFmtId="9" fontId="16" fillId="28" borderId="31" xfId="2" applyNumberFormat="1" applyFont="1" applyFill="1" applyBorder="1" applyAlignment="1">
      <alignment horizontal="center" vertical="center"/>
    </xf>
    <xf numFmtId="165" fontId="5" fillId="17" borderId="31" xfId="4" applyNumberFormat="1" applyFont="1" applyFill="1" applyBorder="1" applyAlignment="1" applyProtection="1">
      <alignment horizontal="center" vertical="center" wrapText="1"/>
    </xf>
    <xf numFmtId="9" fontId="16" fillId="28" borderId="29" xfId="2" applyNumberFormat="1" applyFont="1" applyFill="1" applyBorder="1" applyAlignment="1">
      <alignment horizontal="center" vertical="center"/>
    </xf>
    <xf numFmtId="0" fontId="16" fillId="0" borderId="6" xfId="2" applyFont="1" applyBorder="1" applyAlignment="1">
      <alignment vertical="top" wrapText="1"/>
    </xf>
    <xf numFmtId="164" fontId="5" fillId="16" borderId="30" xfId="3" applyNumberFormat="1" applyFont="1" applyFill="1" applyBorder="1" applyAlignment="1">
      <alignment vertical="top" wrapText="1"/>
    </xf>
    <xf numFmtId="0" fontId="17" fillId="28" borderId="32" xfId="0" applyFont="1" applyFill="1" applyBorder="1" applyAlignment="1">
      <alignment horizontal="center" vertical="top" wrapText="1"/>
    </xf>
    <xf numFmtId="0" fontId="17" fillId="0" borderId="31" xfId="0" applyFont="1" applyFill="1" applyBorder="1" applyAlignment="1">
      <alignment vertical="top" wrapText="1"/>
    </xf>
    <xf numFmtId="0" fontId="16" fillId="0" borderId="31" xfId="2" applyFont="1" applyFill="1" applyBorder="1" applyAlignment="1">
      <alignment vertical="top" wrapText="1"/>
    </xf>
    <xf numFmtId="43" fontId="5" fillId="16" borderId="29" xfId="1" applyFont="1" applyFill="1" applyBorder="1" applyAlignment="1" applyProtection="1">
      <alignment vertical="top" wrapText="1"/>
    </xf>
    <xf numFmtId="0" fontId="16" fillId="30" borderId="31" xfId="2" applyFont="1" applyFill="1" applyBorder="1" applyAlignment="1">
      <alignment vertical="top"/>
    </xf>
    <xf numFmtId="3" fontId="16" fillId="19" borderId="31" xfId="2" applyNumberFormat="1" applyFont="1" applyFill="1" applyBorder="1" applyAlignment="1">
      <alignment horizontal="center" vertical="top" wrapText="1"/>
    </xf>
    <xf numFmtId="0" fontId="16" fillId="19" borderId="31" xfId="2" applyFont="1" applyFill="1" applyBorder="1" applyAlignment="1">
      <alignment horizontal="center" vertical="top" wrapText="1"/>
    </xf>
    <xf numFmtId="0" fontId="16" fillId="19" borderId="31" xfId="2" applyFont="1" applyFill="1" applyBorder="1" applyAlignment="1">
      <alignment vertical="top"/>
    </xf>
    <xf numFmtId="43" fontId="5" fillId="31" borderId="31" xfId="1" applyFont="1" applyFill="1" applyBorder="1" applyAlignment="1" applyProtection="1">
      <alignment vertical="top" wrapText="1"/>
    </xf>
    <xf numFmtId="43" fontId="16" fillId="21" borderId="31" xfId="1" applyFont="1" applyFill="1" applyBorder="1" applyAlignment="1">
      <alignment vertical="top"/>
    </xf>
    <xf numFmtId="0" fontId="5" fillId="16" borderId="31" xfId="3" applyFont="1" applyFill="1" applyBorder="1" applyAlignment="1">
      <alignment vertical="top" wrapText="1"/>
    </xf>
    <xf numFmtId="14" fontId="16" fillId="19" borderId="31" xfId="2" applyNumberFormat="1" applyFont="1" applyFill="1" applyBorder="1" applyAlignment="1">
      <alignment vertical="top" wrapText="1"/>
    </xf>
    <xf numFmtId="0" fontId="16" fillId="21" borderId="31" xfId="2" applyFont="1" applyFill="1" applyBorder="1" applyAlignment="1">
      <alignment vertical="top" wrapText="1"/>
    </xf>
    <xf numFmtId="0" fontId="16" fillId="19" borderId="31" xfId="2" applyFont="1" applyFill="1" applyBorder="1" applyAlignment="1">
      <alignment vertical="top" wrapText="1"/>
    </xf>
    <xf numFmtId="4" fontId="17" fillId="22" borderId="31" xfId="0" applyNumberFormat="1" applyFont="1" applyFill="1" applyBorder="1" applyAlignment="1">
      <alignment horizontal="right" vertical="top"/>
    </xf>
    <xf numFmtId="0" fontId="18" fillId="20" borderId="29" xfId="2" applyFont="1" applyFill="1" applyBorder="1"/>
    <xf numFmtId="43" fontId="18" fillId="20" borderId="29" xfId="2" applyNumberFormat="1" applyFont="1" applyFill="1" applyBorder="1"/>
    <xf numFmtId="43" fontId="18" fillId="20" borderId="29" xfId="1" applyFont="1" applyFill="1" applyBorder="1"/>
    <xf numFmtId="0" fontId="5" fillId="15" borderId="30" xfId="3" applyFont="1" applyFill="1" applyBorder="1" applyAlignment="1">
      <alignment horizontal="center" vertical="center" wrapText="1"/>
    </xf>
    <xf numFmtId="0" fontId="17" fillId="0" borderId="29" xfId="0" applyFont="1" applyBorder="1" applyAlignment="1">
      <alignment horizontal="center" vertical="center" wrapText="1"/>
    </xf>
    <xf numFmtId="0" fontId="16" fillId="0" borderId="29" xfId="0" applyFont="1" applyBorder="1" applyAlignment="1">
      <alignment horizontal="left" vertical="center" wrapText="1"/>
    </xf>
    <xf numFmtId="0" fontId="17" fillId="0" borderId="29" xfId="0" applyFont="1" applyBorder="1" applyAlignment="1">
      <alignment horizontal="left" vertical="center" wrapText="1"/>
    </xf>
    <xf numFmtId="165" fontId="5" fillId="17" borderId="29" xfId="4" applyNumberFormat="1" applyFont="1" applyFill="1" applyBorder="1" applyAlignment="1" applyProtection="1">
      <alignment vertical="center" wrapText="1"/>
    </xf>
    <xf numFmtId="9" fontId="16" fillId="0" borderId="29" xfId="0" applyNumberFormat="1" applyFont="1" applyBorder="1" applyAlignment="1">
      <alignment horizontal="center" vertical="center" wrapText="1"/>
    </xf>
    <xf numFmtId="43" fontId="5" fillId="29" borderId="26" xfId="1" applyFont="1" applyFill="1" applyBorder="1" applyAlignment="1">
      <alignment vertical="center" wrapText="1"/>
    </xf>
    <xf numFmtId="43" fontId="5" fillId="18" borderId="29" xfId="1" applyFont="1" applyFill="1" applyBorder="1" applyAlignment="1">
      <alignment vertical="center" wrapText="1"/>
    </xf>
    <xf numFmtId="0" fontId="5" fillId="29" borderId="29" xfId="3" applyFont="1" applyFill="1" applyBorder="1" applyAlignment="1">
      <alignment horizontal="left" vertical="center" wrapText="1"/>
    </xf>
    <xf numFmtId="0" fontId="16" fillId="0" borderId="29" xfId="0" applyFont="1" applyBorder="1" applyAlignment="1">
      <alignment horizontal="center" vertical="center" wrapText="1"/>
    </xf>
    <xf numFmtId="0" fontId="21" fillId="15" borderId="30" xfId="3" applyFont="1" applyFill="1" applyBorder="1" applyAlignment="1">
      <alignment horizontal="center" vertical="center" wrapText="1"/>
    </xf>
    <xf numFmtId="0" fontId="5" fillId="0" borderId="29" xfId="0" applyFont="1" applyBorder="1" applyAlignment="1">
      <alignment horizontal="left" vertical="center" wrapText="1"/>
    </xf>
    <xf numFmtId="0" fontId="5" fillId="0" borderId="29" xfId="0" applyFont="1" applyBorder="1" applyAlignment="1">
      <alignment vertical="center" wrapText="1"/>
    </xf>
    <xf numFmtId="0" fontId="5" fillId="19" borderId="29" xfId="2" applyFont="1" applyFill="1" applyBorder="1" applyAlignment="1">
      <alignment horizontal="center" vertical="center" wrapText="1"/>
    </xf>
    <xf numFmtId="43" fontId="18" fillId="32" borderId="29" xfId="2" applyNumberFormat="1" applyFont="1" applyFill="1" applyBorder="1" applyAlignment="1">
      <alignment vertical="center"/>
    </xf>
    <xf numFmtId="0" fontId="16" fillId="0" borderId="29" xfId="2" applyFont="1" applyBorder="1" applyAlignment="1">
      <alignment wrapText="1"/>
    </xf>
    <xf numFmtId="164" fontId="5" fillId="8" borderId="29" xfId="3" applyNumberFormat="1" applyFont="1" applyFill="1" applyBorder="1" applyAlignment="1">
      <alignment vertical="center" wrapText="1"/>
    </xf>
    <xf numFmtId="0" fontId="13" fillId="0" borderId="29" xfId="0" applyFont="1" applyBorder="1" applyAlignment="1">
      <alignment vertical="center" wrapText="1"/>
    </xf>
    <xf numFmtId="43" fontId="5" fillId="8" borderId="29" xfId="1" applyFont="1" applyFill="1" applyBorder="1" applyAlignment="1" applyProtection="1">
      <alignment vertical="center" wrapText="1"/>
    </xf>
    <xf numFmtId="0" fontId="13" fillId="11" borderId="29" xfId="2" applyFont="1" applyFill="1" applyBorder="1" applyAlignment="1">
      <alignment horizontal="center" vertical="center" wrapText="1"/>
    </xf>
    <xf numFmtId="0" fontId="13" fillId="11" borderId="29" xfId="2" applyFont="1" applyFill="1" applyBorder="1" applyAlignment="1">
      <alignment horizontal="center" vertical="center"/>
    </xf>
    <xf numFmtId="43" fontId="13" fillId="12" borderId="29" xfId="1" applyFont="1" applyFill="1" applyBorder="1" applyAlignment="1">
      <alignment vertical="center"/>
    </xf>
    <xf numFmtId="43" fontId="13" fillId="13" borderId="29" xfId="1" applyFont="1" applyFill="1" applyBorder="1" applyAlignment="1">
      <alignment vertical="center"/>
    </xf>
    <xf numFmtId="0" fontId="5" fillId="8" borderId="29" xfId="3" applyFont="1" applyFill="1" applyBorder="1" applyAlignment="1">
      <alignment vertical="center" wrapText="1"/>
    </xf>
    <xf numFmtId="14" fontId="13" fillId="11" borderId="29" xfId="2" applyNumberFormat="1" applyFont="1" applyFill="1" applyBorder="1" applyAlignment="1">
      <alignment vertical="center"/>
    </xf>
    <xf numFmtId="0" fontId="13" fillId="13" borderId="29" xfId="2" applyFont="1" applyFill="1" applyBorder="1" applyAlignment="1">
      <alignment horizontal="center" vertical="center" wrapText="1"/>
    </xf>
    <xf numFmtId="0" fontId="13" fillId="11" borderId="29" xfId="2" applyFont="1" applyFill="1" applyBorder="1" applyAlignment="1">
      <alignment vertical="center"/>
    </xf>
    <xf numFmtId="43" fontId="5" fillId="14" borderId="29" xfId="1" applyFont="1" applyFill="1" applyBorder="1" applyAlignment="1" applyProtection="1">
      <alignment vertical="center" wrapText="1"/>
    </xf>
    <xf numFmtId="43" fontId="14" fillId="14" borderId="29" xfId="1" applyFont="1" applyFill="1" applyBorder="1" applyAlignment="1" applyProtection="1">
      <alignment vertical="center" wrapText="1"/>
    </xf>
    <xf numFmtId="0" fontId="21" fillId="0" borderId="29" xfId="2" applyFont="1" applyBorder="1" applyAlignment="1">
      <alignment wrapText="1"/>
    </xf>
    <xf numFmtId="0" fontId="16" fillId="0" borderId="29" xfId="2" applyFont="1" applyBorder="1"/>
    <xf numFmtId="0" fontId="13" fillId="12" borderId="29" xfId="2" applyFont="1" applyFill="1" applyBorder="1" applyAlignment="1">
      <alignment vertical="center"/>
    </xf>
    <xf numFmtId="43" fontId="22" fillId="12" borderId="29" xfId="2" applyNumberFormat="1" applyFont="1" applyFill="1" applyBorder="1" applyAlignment="1">
      <alignment vertical="center"/>
    </xf>
    <xf numFmtId="0" fontId="5" fillId="15" borderId="6" xfId="3" applyFont="1" applyFill="1" applyBorder="1" applyAlignment="1">
      <alignment vertical="center" wrapText="1"/>
    </xf>
    <xf numFmtId="164" fontId="5" fillId="16" borderId="31" xfId="3" applyNumberFormat="1" applyFont="1" applyFill="1" applyBorder="1" applyAlignment="1">
      <alignment horizontal="center" vertical="center" wrapText="1"/>
    </xf>
    <xf numFmtId="43" fontId="5" fillId="18" borderId="31" xfId="1" applyFont="1" applyFill="1" applyBorder="1" applyAlignment="1">
      <alignment horizontal="center" vertical="center" wrapText="1"/>
    </xf>
    <xf numFmtId="0" fontId="16" fillId="0" borderId="31" xfId="0" applyFont="1" applyBorder="1" applyAlignment="1">
      <alignment horizontal="center" vertical="center" wrapText="1"/>
    </xf>
    <xf numFmtId="0" fontId="5" fillId="0" borderId="31" xfId="3" applyFont="1" applyFill="1" applyBorder="1" applyAlignment="1">
      <alignment horizontal="left" vertical="center" wrapText="1"/>
    </xf>
    <xf numFmtId="0" fontId="16" fillId="0" borderId="31" xfId="0" applyFont="1" applyBorder="1" applyAlignment="1">
      <alignment horizontal="left" vertical="center" wrapText="1"/>
    </xf>
    <xf numFmtId="43" fontId="5" fillId="16" borderId="31" xfId="1" applyFont="1" applyFill="1" applyBorder="1" applyAlignment="1" applyProtection="1">
      <alignment horizontal="center" vertical="center" wrapText="1"/>
    </xf>
    <xf numFmtId="0" fontId="16" fillId="19" borderId="31" xfId="2" applyFont="1" applyFill="1" applyBorder="1" applyAlignment="1">
      <alignment horizontal="left" vertical="center" wrapText="1"/>
    </xf>
    <xf numFmtId="0" fontId="16" fillId="19" borderId="31" xfId="2" applyFont="1" applyFill="1" applyBorder="1" applyAlignment="1">
      <alignment horizontal="center" vertical="center"/>
    </xf>
    <xf numFmtId="43" fontId="16" fillId="20" borderId="31" xfId="1" applyFont="1" applyFill="1" applyBorder="1" applyAlignment="1">
      <alignment horizontal="center" vertical="center"/>
    </xf>
    <xf numFmtId="43" fontId="16" fillId="21" borderId="31" xfId="1" applyFont="1" applyFill="1" applyBorder="1" applyAlignment="1">
      <alignment horizontal="center" vertical="center"/>
    </xf>
    <xf numFmtId="0" fontId="5" fillId="16" borderId="31" xfId="3" applyFont="1" applyFill="1" applyBorder="1" applyAlignment="1">
      <alignment horizontal="left" vertical="center" wrapText="1"/>
    </xf>
    <xf numFmtId="14" fontId="16" fillId="19" borderId="31" xfId="2" applyNumberFormat="1" applyFont="1" applyFill="1" applyBorder="1" applyAlignment="1">
      <alignment horizontal="right" vertical="center"/>
    </xf>
    <xf numFmtId="0" fontId="16" fillId="21" borderId="31" xfId="2" applyFont="1" applyFill="1" applyBorder="1" applyAlignment="1">
      <alignment horizontal="center" vertical="center" wrapText="1"/>
    </xf>
    <xf numFmtId="43" fontId="5" fillId="22" borderId="31" xfId="1" applyFont="1" applyFill="1" applyBorder="1" applyAlignment="1" applyProtection="1">
      <alignment horizontal="center" vertical="center" wrapText="1"/>
    </xf>
    <xf numFmtId="43" fontId="14" fillId="22" borderId="31" xfId="1" applyFont="1" applyFill="1" applyBorder="1" applyAlignment="1" applyProtection="1">
      <alignment horizontal="center" vertical="center" wrapText="1"/>
    </xf>
    <xf numFmtId="14" fontId="16" fillId="19" borderId="29" xfId="2" applyNumberFormat="1" applyFont="1" applyFill="1" applyBorder="1" applyAlignment="1">
      <alignment horizontal="right" vertical="center"/>
    </xf>
    <xf numFmtId="164" fontId="17" fillId="0" borderId="29" xfId="0" applyNumberFormat="1" applyFont="1" applyBorder="1" applyAlignment="1">
      <alignment horizontal="left" vertical="center" wrapText="1"/>
    </xf>
    <xf numFmtId="43" fontId="5" fillId="18" borderId="26" xfId="1" applyFont="1" applyFill="1" applyBorder="1" applyAlignment="1">
      <alignment vertical="center" wrapText="1"/>
    </xf>
    <xf numFmtId="164" fontId="17" fillId="0" borderId="31" xfId="0" applyNumberFormat="1" applyFont="1" applyBorder="1" applyAlignment="1">
      <alignment horizontal="left" vertical="center" wrapText="1"/>
    </xf>
    <xf numFmtId="166" fontId="17" fillId="0" borderId="29" xfId="0" applyNumberFormat="1" applyFont="1" applyBorder="1" applyAlignment="1">
      <alignment horizontal="left" vertical="center" wrapText="1"/>
    </xf>
    <xf numFmtId="166" fontId="17" fillId="0" borderId="29" xfId="0" applyNumberFormat="1" applyFont="1" applyFill="1" applyBorder="1" applyAlignment="1">
      <alignment horizontal="left" vertical="center" wrapText="1"/>
    </xf>
    <xf numFmtId="0" fontId="21" fillId="15" borderId="6" xfId="3" applyFont="1" applyFill="1" applyBorder="1" applyAlignment="1">
      <alignment vertical="center" wrapText="1"/>
    </xf>
    <xf numFmtId="43" fontId="5" fillId="0" borderId="29" xfId="1" applyFont="1" applyFill="1" applyBorder="1" applyAlignment="1">
      <alignment horizontal="left" vertical="center" wrapText="1"/>
    </xf>
    <xf numFmtId="0" fontId="16" fillId="20" borderId="30" xfId="2" applyFont="1" applyFill="1" applyBorder="1" applyAlignment="1">
      <alignment horizontal="center" vertical="center"/>
    </xf>
    <xf numFmtId="165" fontId="5" fillId="17" borderId="29" xfId="4" applyNumberFormat="1" applyFont="1" applyFill="1" applyBorder="1" applyAlignment="1" applyProtection="1">
      <alignment horizontal="justify" vertical="top" wrapText="1"/>
    </xf>
    <xf numFmtId="0" fontId="16" fillId="0" borderId="29" xfId="0" applyFont="1" applyBorder="1" applyAlignment="1">
      <alignment horizontal="justify" vertical="center" wrapText="1"/>
    </xf>
    <xf numFmtId="0" fontId="5" fillId="23" borderId="30" xfId="3" applyFont="1" applyFill="1" applyBorder="1" applyAlignment="1">
      <alignment vertical="center" wrapText="1"/>
    </xf>
    <xf numFmtId="164" fontId="5" fillId="23" borderId="30" xfId="3" applyNumberFormat="1" applyFont="1" applyFill="1" applyBorder="1" applyAlignment="1">
      <alignment horizontal="center" vertical="center" wrapText="1"/>
    </xf>
    <xf numFmtId="0" fontId="5" fillId="23" borderId="29" xfId="3" applyFont="1" applyFill="1" applyBorder="1" applyAlignment="1">
      <alignment vertical="top" wrapText="1"/>
    </xf>
    <xf numFmtId="43" fontId="5" fillId="25" borderId="29" xfId="1" applyFont="1" applyFill="1" applyBorder="1" applyAlignment="1">
      <alignment vertical="center" wrapText="1"/>
    </xf>
    <xf numFmtId="0" fontId="16" fillId="20" borderId="29" xfId="0" applyFont="1" applyFill="1" applyBorder="1" applyAlignment="1">
      <alignment horizontal="justify" vertical="center" wrapText="1"/>
    </xf>
    <xf numFmtId="0" fontId="5" fillId="20" borderId="29" xfId="3" applyFont="1" applyFill="1" applyBorder="1" applyAlignment="1">
      <alignment vertical="center" wrapText="1"/>
    </xf>
    <xf numFmtId="0" fontId="5" fillId="20" borderId="29" xfId="3" applyFont="1" applyFill="1" applyBorder="1" applyAlignment="1">
      <alignment horizontal="justify" vertical="center" wrapText="1"/>
    </xf>
    <xf numFmtId="0" fontId="16" fillId="20" borderId="29" xfId="0" applyFont="1" applyFill="1" applyBorder="1" applyAlignment="1">
      <alignment vertical="center" wrapText="1"/>
    </xf>
    <xf numFmtId="43" fontId="5" fillId="23" borderId="29" xfId="1" applyFont="1" applyFill="1" applyBorder="1" applyAlignment="1" applyProtection="1">
      <alignment horizontal="right" vertical="center" wrapText="1"/>
    </xf>
    <xf numFmtId="43" fontId="5" fillId="23" borderId="29" xfId="1" applyFont="1" applyFill="1" applyBorder="1" applyAlignment="1" applyProtection="1">
      <alignment vertical="center" wrapText="1"/>
    </xf>
    <xf numFmtId="0" fontId="16" fillId="20" borderId="29" xfId="2" applyFont="1" applyFill="1" applyBorder="1" applyAlignment="1">
      <alignment horizontal="center" vertical="center" wrapText="1"/>
    </xf>
    <xf numFmtId="0" fontId="16" fillId="20" borderId="29" xfId="2" applyFont="1" applyFill="1" applyBorder="1" applyAlignment="1">
      <alignment horizontal="center" vertical="center"/>
    </xf>
    <xf numFmtId="0" fontId="5" fillId="23" borderId="29" xfId="3" applyFont="1" applyFill="1" applyBorder="1" applyAlignment="1">
      <alignment vertical="center" wrapText="1"/>
    </xf>
    <xf numFmtId="14" fontId="16" fillId="20" borderId="29" xfId="2" applyNumberFormat="1" applyFont="1" applyFill="1" applyBorder="1" applyAlignment="1">
      <alignment vertical="center"/>
    </xf>
    <xf numFmtId="43" fontId="5" fillId="20" borderId="29" xfId="1" applyFont="1" applyFill="1" applyBorder="1" applyAlignment="1" applyProtection="1">
      <alignment vertical="center" wrapText="1"/>
    </xf>
    <xf numFmtId="43" fontId="14" fillId="20" borderId="29" xfId="1" applyFont="1" applyFill="1" applyBorder="1" applyAlignment="1" applyProtection="1">
      <alignment vertical="center" wrapText="1"/>
    </xf>
    <xf numFmtId="0" fontId="2" fillId="0" borderId="33" xfId="2" applyBorder="1" applyAlignment="1">
      <alignment horizontal="center" textRotation="90" wrapText="1"/>
    </xf>
    <xf numFmtId="0" fontId="21" fillId="15" borderId="30" xfId="3" applyFont="1" applyFill="1" applyBorder="1" applyAlignment="1">
      <alignment vertical="center" wrapText="1"/>
    </xf>
    <xf numFmtId="0" fontId="16" fillId="0" borderId="29" xfId="0" applyFont="1" applyBorder="1" applyAlignment="1">
      <alignment horizontal="justify" vertical="top" wrapText="1"/>
    </xf>
    <xf numFmtId="0" fontId="5" fillId="0" borderId="29" xfId="3" applyFont="1" applyFill="1" applyBorder="1" applyAlignment="1">
      <alignment horizontal="justify" vertical="center" wrapText="1"/>
    </xf>
    <xf numFmtId="0" fontId="21" fillId="23" borderId="30" xfId="3" applyFont="1" applyFill="1" applyBorder="1" applyAlignment="1">
      <alignment vertical="center" wrapText="1"/>
    </xf>
    <xf numFmtId="0" fontId="15" fillId="23" borderId="30" xfId="3" applyFont="1" applyFill="1" applyBorder="1" applyAlignment="1">
      <alignment vertical="center" wrapText="1"/>
    </xf>
    <xf numFmtId="165" fontId="5" fillId="17" borderId="29" xfId="4" applyNumberFormat="1" applyFont="1" applyFill="1" applyBorder="1" applyAlignment="1" applyProtection="1">
      <alignment horizontal="justify" vertical="center" wrapText="1"/>
    </xf>
    <xf numFmtId="165" fontId="17" fillId="28" borderId="29" xfId="0" applyNumberFormat="1" applyFont="1" applyFill="1" applyBorder="1" applyAlignment="1">
      <alignment horizontal="left" vertical="top" wrapText="1"/>
    </xf>
    <xf numFmtId="0" fontId="16" fillId="22" borderId="29" xfId="2" applyFont="1" applyFill="1" applyBorder="1" applyAlignment="1">
      <alignment vertical="center"/>
    </xf>
    <xf numFmtId="0" fontId="16" fillId="22" borderId="0" xfId="2" applyFont="1" applyFill="1" applyAlignment="1">
      <alignment vertical="center"/>
    </xf>
    <xf numFmtId="0" fontId="23" fillId="23" borderId="30" xfId="3" applyFont="1" applyFill="1" applyBorder="1" applyAlignment="1">
      <alignment vertical="center" wrapText="1"/>
    </xf>
    <xf numFmtId="0" fontId="2" fillId="0" borderId="0" xfId="2" applyAlignment="1">
      <alignment textRotation="90"/>
    </xf>
    <xf numFmtId="0" fontId="18" fillId="0" borderId="29" xfId="2" applyFont="1" applyBorder="1" applyAlignment="1">
      <alignment vertical="center"/>
    </xf>
    <xf numFmtId="0" fontId="18" fillId="20" borderId="30" xfId="2" applyFont="1" applyFill="1" applyBorder="1" applyAlignment="1">
      <alignment vertical="center"/>
    </xf>
    <xf numFmtId="0" fontId="18" fillId="20" borderId="29" xfId="2" applyFont="1" applyFill="1" applyBorder="1" applyAlignment="1">
      <alignment vertical="center"/>
    </xf>
    <xf numFmtId="4" fontId="16" fillId="0" borderId="30" xfId="2" applyNumberFormat="1" applyFont="1" applyBorder="1" applyAlignment="1">
      <alignment horizontal="left" vertical="top" wrapText="1"/>
    </xf>
    <xf numFmtId="164" fontId="5" fillId="16" borderId="30" xfId="3" applyNumberFormat="1" applyFont="1" applyFill="1" applyBorder="1" applyAlignment="1">
      <alignment horizontal="left" vertical="top" wrapText="1"/>
    </xf>
    <xf numFmtId="0" fontId="17" fillId="0" borderId="31" xfId="0" applyFont="1" applyBorder="1" applyAlignment="1">
      <alignment horizontal="left" vertical="top" wrapText="1"/>
    </xf>
    <xf numFmtId="0" fontId="16" fillId="0" borderId="29" xfId="0" applyFont="1" applyBorder="1" applyAlignment="1">
      <alignment horizontal="left" vertical="top" wrapText="1"/>
    </xf>
    <xf numFmtId="2" fontId="16" fillId="0" borderId="29" xfId="0" applyNumberFormat="1" applyFont="1" applyBorder="1" applyAlignment="1">
      <alignment horizontal="left" vertical="top" wrapText="1"/>
    </xf>
    <xf numFmtId="4" fontId="5" fillId="16" borderId="29" xfId="1" applyNumberFormat="1" applyFont="1" applyFill="1" applyBorder="1" applyAlignment="1" applyProtection="1">
      <alignment vertical="top" wrapText="1"/>
    </xf>
    <xf numFmtId="4" fontId="16" fillId="19" borderId="29" xfId="2" applyNumberFormat="1" applyFont="1" applyFill="1" applyBorder="1" applyAlignment="1">
      <alignment horizontal="center" vertical="top" wrapText="1"/>
    </xf>
    <xf numFmtId="0" fontId="16" fillId="19" borderId="29" xfId="2" applyFont="1" applyFill="1" applyBorder="1" applyAlignment="1">
      <alignment horizontal="center" vertical="top" wrapText="1"/>
    </xf>
    <xf numFmtId="4" fontId="5" fillId="31" borderId="29" xfId="1" applyNumberFormat="1" applyFont="1" applyFill="1" applyBorder="1" applyAlignment="1" applyProtection="1">
      <alignment vertical="top" wrapText="1"/>
    </xf>
    <xf numFmtId="4" fontId="16" fillId="30" borderId="29" xfId="0" applyNumberFormat="1" applyFont="1" applyFill="1" applyBorder="1" applyAlignment="1">
      <alignment vertical="top" wrapText="1"/>
    </xf>
    <xf numFmtId="4" fontId="16" fillId="21" borderId="29" xfId="1" applyNumberFormat="1" applyFont="1" applyFill="1" applyBorder="1" applyAlignment="1">
      <alignment vertical="center" wrapText="1"/>
    </xf>
    <xf numFmtId="43" fontId="16" fillId="21" borderId="29" xfId="1" applyFont="1" applyFill="1" applyBorder="1" applyAlignment="1">
      <alignment vertical="center" wrapText="1"/>
    </xf>
    <xf numFmtId="0" fontId="5" fillId="16" borderId="29" xfId="3" applyFont="1" applyFill="1" applyBorder="1" applyAlignment="1">
      <alignment vertical="top" wrapText="1"/>
    </xf>
    <xf numFmtId="14" fontId="16" fillId="19" borderId="29" xfId="2" applyNumberFormat="1" applyFont="1" applyFill="1" applyBorder="1" applyAlignment="1">
      <alignment vertical="top" wrapText="1"/>
    </xf>
    <xf numFmtId="0" fontId="16" fillId="21" borderId="29" xfId="2" applyFont="1" applyFill="1" applyBorder="1" applyAlignment="1">
      <alignment vertical="top" wrapText="1"/>
    </xf>
    <xf numFmtId="0" fontId="16" fillId="19" borderId="29" xfId="2" applyFont="1" applyFill="1" applyBorder="1" applyAlignment="1">
      <alignment vertical="top" wrapText="1"/>
    </xf>
    <xf numFmtId="0" fontId="17" fillId="0" borderId="31" xfId="0" applyFont="1" applyFill="1" applyBorder="1" applyAlignment="1">
      <alignment horizontal="left" vertical="top" wrapText="1"/>
    </xf>
    <xf numFmtId="0" fontId="16" fillId="0" borderId="29" xfId="0" applyFont="1" applyFill="1" applyBorder="1" applyAlignment="1">
      <alignment horizontal="left" vertical="top" wrapText="1"/>
    </xf>
    <xf numFmtId="2" fontId="16" fillId="0" borderId="29" xfId="0" applyNumberFormat="1" applyFont="1" applyFill="1" applyBorder="1" applyAlignment="1">
      <alignment horizontal="left" vertical="top" wrapText="1"/>
    </xf>
    <xf numFmtId="0" fontId="16" fillId="19" borderId="29" xfId="2" applyFont="1" applyFill="1" applyBorder="1" applyAlignment="1">
      <alignment horizontal="center" vertical="top"/>
    </xf>
    <xf numFmtId="43" fontId="5" fillId="31" borderId="29" xfId="1" applyFont="1" applyFill="1" applyBorder="1" applyAlignment="1" applyProtection="1">
      <alignment vertical="top" wrapText="1"/>
    </xf>
    <xf numFmtId="4" fontId="16" fillId="21" borderId="29" xfId="1" applyNumberFormat="1" applyFont="1" applyFill="1" applyBorder="1" applyAlignment="1">
      <alignment vertical="center"/>
    </xf>
    <xf numFmtId="0" fontId="16" fillId="19" borderId="29" xfId="2" applyFont="1" applyFill="1" applyBorder="1" applyAlignment="1">
      <alignment vertical="top"/>
    </xf>
    <xf numFmtId="0" fontId="19" fillId="0" borderId="29" xfId="2" applyFont="1" applyFill="1" applyBorder="1" applyAlignment="1">
      <alignment horizontal="left" vertical="top" wrapText="1"/>
    </xf>
    <xf numFmtId="2" fontId="19" fillId="0" borderId="29" xfId="2" applyNumberFormat="1" applyFont="1" applyFill="1" applyBorder="1" applyAlignment="1">
      <alignment horizontal="left" vertical="top" wrapText="1"/>
    </xf>
    <xf numFmtId="4" fontId="19" fillId="30" borderId="29" xfId="2" applyNumberFormat="1" applyFont="1" applyFill="1" applyBorder="1" applyAlignment="1">
      <alignment vertical="top"/>
    </xf>
    <xf numFmtId="0" fontId="19" fillId="19" borderId="29" xfId="2" applyFont="1" applyFill="1" applyBorder="1" applyAlignment="1">
      <alignment vertical="top"/>
    </xf>
    <xf numFmtId="4" fontId="16" fillId="21" borderId="29" xfId="2" applyNumberFormat="1" applyFont="1" applyFill="1" applyBorder="1" applyAlignment="1">
      <alignment vertical="center"/>
    </xf>
    <xf numFmtId="0" fontId="19" fillId="21" borderId="29" xfId="2" applyFont="1" applyFill="1" applyBorder="1" applyAlignment="1">
      <alignment vertical="center"/>
    </xf>
    <xf numFmtId="4" fontId="19" fillId="21" borderId="29" xfId="2" applyNumberFormat="1" applyFont="1" applyFill="1" applyBorder="1" applyAlignment="1">
      <alignment vertical="center"/>
    </xf>
    <xf numFmtId="43" fontId="16" fillId="21" borderId="29" xfId="2" applyNumberFormat="1" applyFont="1" applyFill="1" applyBorder="1" applyAlignment="1">
      <alignment vertical="center"/>
    </xf>
    <xf numFmtId="4" fontId="20" fillId="30" borderId="29" xfId="2" applyNumberFormat="1" applyFont="1" applyFill="1" applyBorder="1" applyAlignment="1">
      <alignment vertical="top"/>
    </xf>
    <xf numFmtId="43" fontId="20" fillId="19" borderId="29" xfId="2" applyNumberFormat="1" applyFont="1" applyFill="1" applyBorder="1" applyAlignment="1">
      <alignment vertical="top"/>
    </xf>
    <xf numFmtId="4" fontId="20" fillId="21" borderId="29" xfId="2" applyNumberFormat="1" applyFont="1" applyFill="1" applyBorder="1" applyAlignment="1">
      <alignment vertical="center"/>
    </xf>
    <xf numFmtId="43" fontId="20" fillId="21" borderId="29" xfId="2" applyNumberFormat="1" applyFont="1" applyFill="1" applyBorder="1" applyAlignment="1">
      <alignment vertical="center"/>
    </xf>
    <xf numFmtId="43" fontId="19" fillId="21" borderId="29" xfId="2" applyNumberFormat="1" applyFont="1" applyFill="1" applyBorder="1" applyAlignment="1">
      <alignment vertical="center"/>
    </xf>
    <xf numFmtId="167" fontId="24" fillId="21" borderId="29" xfId="0" applyNumberFormat="1" applyFont="1" applyFill="1" applyBorder="1" applyAlignment="1">
      <alignment vertical="center"/>
    </xf>
    <xf numFmtId="0" fontId="19" fillId="0" borderId="31" xfId="2" applyFont="1" applyFill="1" applyBorder="1" applyAlignment="1">
      <alignment horizontal="left" vertical="top" wrapText="1"/>
    </xf>
    <xf numFmtId="2" fontId="19" fillId="0" borderId="31" xfId="2" applyNumberFormat="1" applyFont="1" applyFill="1" applyBorder="1" applyAlignment="1">
      <alignment horizontal="left" vertical="top" wrapText="1"/>
    </xf>
    <xf numFmtId="4" fontId="19" fillId="30" borderId="31" xfId="2" applyNumberFormat="1" applyFont="1" applyFill="1" applyBorder="1" applyAlignment="1">
      <alignment vertical="top"/>
    </xf>
    <xf numFmtId="4" fontId="16" fillId="19" borderId="31" xfId="2" applyNumberFormat="1" applyFont="1" applyFill="1" applyBorder="1" applyAlignment="1">
      <alignment horizontal="center" vertical="top" wrapText="1"/>
    </xf>
    <xf numFmtId="0" fontId="19" fillId="19" borderId="31" xfId="2" applyFont="1" applyFill="1" applyBorder="1" applyAlignment="1">
      <alignment vertical="top"/>
    </xf>
    <xf numFmtId="4" fontId="19" fillId="21" borderId="31" xfId="2" applyNumberFormat="1" applyFont="1" applyFill="1" applyBorder="1" applyAlignment="1">
      <alignment vertical="center"/>
    </xf>
    <xf numFmtId="0" fontId="19" fillId="21" borderId="31" xfId="2" applyFont="1" applyFill="1" applyBorder="1" applyAlignment="1">
      <alignment vertical="center"/>
    </xf>
    <xf numFmtId="43" fontId="19" fillId="21" borderId="31" xfId="2" applyNumberFormat="1" applyFont="1" applyFill="1" applyBorder="1" applyAlignment="1">
      <alignment vertical="center"/>
    </xf>
    <xf numFmtId="43" fontId="2" fillId="0" borderId="0" xfId="1" applyFont="1"/>
    <xf numFmtId="0" fontId="18" fillId="20" borderId="29" xfId="2" applyFont="1" applyFill="1" applyBorder="1" applyAlignment="1">
      <alignment vertical="top" wrapText="1"/>
    </xf>
    <xf numFmtId="164" fontId="14" fillId="23" borderId="29" xfId="3" applyNumberFormat="1" applyFont="1" applyFill="1" applyBorder="1" applyAlignment="1">
      <alignment vertical="top" wrapText="1"/>
    </xf>
    <xf numFmtId="0" fontId="23" fillId="20" borderId="29" xfId="0" applyFont="1" applyFill="1" applyBorder="1" applyAlignment="1">
      <alignment horizontal="center" vertical="top" wrapText="1"/>
    </xf>
    <xf numFmtId="0" fontId="23" fillId="20" borderId="29" xfId="0" applyFont="1" applyFill="1" applyBorder="1" applyAlignment="1">
      <alignment vertical="top" wrapText="1"/>
    </xf>
    <xf numFmtId="0" fontId="20" fillId="20" borderId="29" xfId="2" applyFont="1" applyFill="1" applyBorder="1" applyAlignment="1">
      <alignment vertical="top" wrapText="1"/>
    </xf>
    <xf numFmtId="2" fontId="20" fillId="20" borderId="29" xfId="2" applyNumberFormat="1" applyFont="1" applyFill="1" applyBorder="1" applyAlignment="1">
      <alignment vertical="top" wrapText="1"/>
    </xf>
    <xf numFmtId="4" fontId="14" fillId="20" borderId="29" xfId="1" applyNumberFormat="1" applyFont="1" applyFill="1" applyBorder="1" applyAlignment="1" applyProtection="1">
      <alignment vertical="top" wrapText="1"/>
    </xf>
    <xf numFmtId="43" fontId="14" fillId="20" borderId="29" xfId="1" applyFont="1" applyFill="1" applyBorder="1" applyAlignment="1" applyProtection="1">
      <alignment vertical="top" wrapText="1"/>
    </xf>
    <xf numFmtId="43" fontId="14" fillId="20" borderId="29" xfId="1" applyFont="1" applyFill="1" applyBorder="1" applyAlignment="1" applyProtection="1">
      <alignment horizontal="center" vertical="top" wrapText="1"/>
    </xf>
    <xf numFmtId="0" fontId="2" fillId="0" borderId="29" xfId="2" applyBorder="1" applyAlignment="1">
      <alignment wrapText="1"/>
    </xf>
    <xf numFmtId="0" fontId="2" fillId="0" borderId="29" xfId="2" applyBorder="1"/>
    <xf numFmtId="0" fontId="2" fillId="0" borderId="29" xfId="2" applyFill="1" applyBorder="1"/>
    <xf numFmtId="0" fontId="2" fillId="20" borderId="29" xfId="2" applyFill="1" applyBorder="1"/>
    <xf numFmtId="43" fontId="25" fillId="20" borderId="29" xfId="2" applyNumberFormat="1" applyFont="1" applyFill="1" applyBorder="1"/>
    <xf numFmtId="43" fontId="2" fillId="20" borderId="29" xfId="2" applyNumberFormat="1" applyFill="1" applyBorder="1"/>
    <xf numFmtId="43" fontId="25" fillId="20" borderId="29" xfId="1" applyFont="1" applyFill="1" applyBorder="1"/>
    <xf numFmtId="0" fontId="2" fillId="0" borderId="0" xfId="2" applyFill="1"/>
    <xf numFmtId="0" fontId="26" fillId="33" borderId="34" xfId="2" applyFont="1" applyFill="1" applyBorder="1" applyAlignment="1">
      <alignment horizontal="center"/>
    </xf>
    <xf numFmtId="0" fontId="26" fillId="33" borderId="35" xfId="2" applyFont="1" applyFill="1" applyBorder="1" applyAlignment="1">
      <alignment horizontal="center"/>
    </xf>
    <xf numFmtId="0" fontId="26" fillId="33" borderId="30" xfId="2" applyFont="1" applyFill="1" applyBorder="1" applyAlignment="1">
      <alignment horizontal="center"/>
    </xf>
    <xf numFmtId="43" fontId="26" fillId="33" borderId="29" xfId="2" applyNumberFormat="1" applyFont="1" applyFill="1" applyBorder="1"/>
    <xf numFmtId="43" fontId="19" fillId="0" borderId="0" xfId="1" applyFont="1"/>
    <xf numFmtId="0" fontId="25" fillId="20" borderId="0" xfId="2" applyFont="1" applyFill="1"/>
    <xf numFmtId="0" fontId="2" fillId="0" borderId="29" xfId="2" applyBorder="1" applyAlignment="1">
      <alignment horizontal="center" wrapText="1"/>
    </xf>
  </cellXfs>
  <cellStyles count="51">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uena 2" xfId="23"/>
    <cellStyle name="Cálculo 2" xfId="24"/>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Excel Built-in Normal" xfId="35"/>
    <cellStyle name="Incorrecto 2" xfId="36"/>
    <cellStyle name="Millares" xfId="1" builtinId="3"/>
    <cellStyle name="Millares 2" xfId="37"/>
    <cellStyle name="Millares 3" xfId="38"/>
    <cellStyle name="Moneda 2" xfId="4"/>
    <cellStyle name="Moneda 2 2" xfId="39"/>
    <cellStyle name="Neutral 2" xfId="40"/>
    <cellStyle name="Normal" xfId="0" builtinId="0"/>
    <cellStyle name="Normal 2" xfId="2"/>
    <cellStyle name="Normal 2 2" xfId="3"/>
    <cellStyle name="Normal 3" xfId="41"/>
    <cellStyle name="Notas 2" xfId="42"/>
    <cellStyle name="Salida 2" xfId="43"/>
    <cellStyle name="Texto de advertencia 2" xfId="44"/>
    <cellStyle name="Texto explicativo 2" xfId="45"/>
    <cellStyle name="Título 1 2" xfId="46"/>
    <cellStyle name="Título 2 2" xfId="47"/>
    <cellStyle name="Título 3 2" xfId="48"/>
    <cellStyle name="Título 4" xfId="49"/>
    <cellStyle name="Total 2" xfId="5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76</xdr:row>
      <xdr:rowOff>0</xdr:rowOff>
    </xdr:from>
    <xdr:to>
      <xdr:col>5</xdr:col>
      <xdr:colOff>123825</xdr:colOff>
      <xdr:row>130</xdr:row>
      <xdr:rowOff>133350</xdr:rowOff>
    </xdr:to>
    <xdr:pic>
      <xdr:nvPicPr>
        <xdr:cNvPr id="2" name="Picture 17" descr="*"/>
        <xdr:cNvPicPr>
          <a:picLocks noChangeAspect="1" noChangeArrowheads="1"/>
        </xdr:cNvPicPr>
      </xdr:nvPicPr>
      <xdr:blipFill>
        <a:blip xmlns:r="http://schemas.openxmlformats.org/officeDocument/2006/relationships" r:embed="rId1" cstate="print"/>
        <a:srcRect/>
        <a:stretch>
          <a:fillRect/>
        </a:stretch>
      </xdr:blipFill>
      <xdr:spPr bwMode="auto">
        <a:xfrm>
          <a:off x="4848225" y="3095625"/>
          <a:ext cx="123825" cy="133350"/>
        </a:xfrm>
        <a:prstGeom prst="rect">
          <a:avLst/>
        </a:prstGeom>
        <a:noFill/>
        <a:ln w="9525">
          <a:noFill/>
          <a:miter lim="800000"/>
          <a:headEnd/>
          <a:tailEnd/>
        </a:ln>
      </xdr:spPr>
    </xdr:pic>
    <xdr:clientData/>
  </xdr:twoCellAnchor>
  <xdr:twoCellAnchor editAs="oneCell">
    <xdr:from>
      <xdr:col>5</xdr:col>
      <xdr:colOff>0</xdr:colOff>
      <xdr:row>76</xdr:row>
      <xdr:rowOff>0</xdr:rowOff>
    </xdr:from>
    <xdr:to>
      <xdr:col>5</xdr:col>
      <xdr:colOff>123825</xdr:colOff>
      <xdr:row>130</xdr:row>
      <xdr:rowOff>133350</xdr:rowOff>
    </xdr:to>
    <xdr:pic>
      <xdr:nvPicPr>
        <xdr:cNvPr id="3" name="Picture 17" descr="*"/>
        <xdr:cNvPicPr>
          <a:picLocks noChangeAspect="1" noChangeArrowheads="1"/>
        </xdr:cNvPicPr>
      </xdr:nvPicPr>
      <xdr:blipFill>
        <a:blip xmlns:r="http://schemas.openxmlformats.org/officeDocument/2006/relationships" r:embed="rId1" cstate="print"/>
        <a:srcRect/>
        <a:stretch>
          <a:fillRect/>
        </a:stretch>
      </xdr:blipFill>
      <xdr:spPr bwMode="auto">
        <a:xfrm>
          <a:off x="4848225" y="3095625"/>
          <a:ext cx="123825" cy="133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yam%20Robles/Documents/POA/POA%202015/centro%20hist&#243;ric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 PLURIANUAL CUATRIANUAL"/>
      <sheetName val="4.POA 2015-PRESUPUESTO"/>
      <sheetName val="Bienes y servicios"/>
    </sheetNames>
    <sheetDataSet>
      <sheetData sheetId="0">
        <row r="7">
          <cell r="B7" t="str">
            <v>PATRIMONIO CULTURAL Y CENTRO HISTÓRICO</v>
          </cell>
          <cell r="F7" t="str">
            <v>Intervencion del Edificio Patrimonial del Mercado de San Sebastian y Paseo de Artesanias.  (1ra Etapa)</v>
          </cell>
          <cell r="G7" t="str">
            <v>Ciudad de Loja</v>
          </cell>
          <cell r="H7">
            <v>75000</v>
          </cell>
        </row>
        <row r="8">
          <cell r="B8" t="str">
            <v>PATRIMONIO CULTURAL Y CENTRO HISTÓRICO</v>
          </cell>
          <cell r="F8" t="str">
            <v>Intervencion del Edificio Patrimonial Casa de Hacienda Punzara y Adecuacion a Nuevo Uso para Centro Distrital. (1ra Etapa)</v>
          </cell>
          <cell r="G8" t="str">
            <v>Ciudad de Loja</v>
          </cell>
          <cell r="H8">
            <v>94428.43</v>
          </cell>
        </row>
        <row r="9">
          <cell r="B9" t="str">
            <v>PATRIMONIO CULTURAL Y CENTRO HISTÓRICO</v>
          </cell>
          <cell r="F9" t="str">
            <v>Plan de Ordenamiento Especial para el Centro Historico de Loja</v>
          </cell>
          <cell r="G9" t="str">
            <v>Ciudad de Loja</v>
          </cell>
        </row>
        <row r="10">
          <cell r="B10" t="str">
            <v>PATRIMONIO CULTURAL Y CENTRO HISTÓRICO</v>
          </cell>
          <cell r="G10" t="str">
            <v>Parroquia Malacatos</v>
          </cell>
        </row>
        <row r="11">
          <cell r="B11" t="str">
            <v>PATRIMONIO CULTURAL Y CENTRO HISTÓRICO</v>
          </cell>
          <cell r="F11" t="str">
            <v>Actualización del Plan Regulador de la Parroquia Vilcabamba</v>
          </cell>
          <cell r="G11" t="str">
            <v>Parroquia Vilcabamba</v>
          </cell>
        </row>
        <row r="12">
          <cell r="B12" t="str">
            <v>PATRIMONIO CULTURAL Y CENTRO HISTÓRICO</v>
          </cell>
          <cell r="F12" t="str">
            <v>Actualización del Plan Regulador de la Parroquia El Cisne</v>
          </cell>
          <cell r="G12" t="str">
            <v>Parroquia El Cisne</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filterMode="1"/>
  <dimension ref="A1:AY235"/>
  <sheetViews>
    <sheetView tabSelected="1" zoomScale="89" zoomScaleNormal="89" workbookViewId="0">
      <selection activeCell="C224" sqref="C224"/>
    </sheetView>
  </sheetViews>
  <sheetFormatPr baseColWidth="10" defaultRowHeight="15"/>
  <cols>
    <col min="1" max="1" width="13.85546875" style="1" customWidth="1"/>
    <col min="2" max="2" width="9" style="1" customWidth="1"/>
    <col min="3" max="3" width="16.85546875" style="1" customWidth="1"/>
    <col min="4" max="4" width="18" style="419" customWidth="1"/>
    <col min="5" max="5" width="15" style="1" customWidth="1"/>
    <col min="6" max="6" width="21" style="1" customWidth="1"/>
    <col min="7" max="9" width="32.85546875" style="1" customWidth="1"/>
    <col min="10" max="10" width="18" style="1" customWidth="1"/>
    <col min="11" max="11" width="17.28515625" style="1" customWidth="1"/>
    <col min="12" max="12" width="16.7109375" style="1" customWidth="1"/>
    <col min="13" max="13" width="7.140625" style="1" customWidth="1"/>
    <col min="14" max="14" width="6.7109375" style="1" customWidth="1"/>
    <col min="15" max="15" width="16" style="1" customWidth="1"/>
    <col min="16" max="16" width="19.140625" style="1" customWidth="1"/>
    <col min="17" max="17" width="19" style="1" customWidth="1"/>
    <col min="18" max="18" width="18.42578125" style="1" customWidth="1"/>
    <col min="19" max="19" width="12.42578125" style="1" customWidth="1"/>
    <col min="20" max="20" width="17.42578125" style="1" customWidth="1"/>
    <col min="21" max="21" width="16.28515625" style="1" customWidth="1"/>
    <col min="22" max="22" width="18.42578125" style="1" customWidth="1"/>
    <col min="23" max="23" width="15.140625" style="1" customWidth="1"/>
    <col min="24" max="24" width="17" style="1" customWidth="1"/>
    <col min="25" max="25" width="18.42578125" style="1" customWidth="1"/>
    <col min="26" max="26" width="12" style="1" customWidth="1"/>
    <col min="27" max="27" width="12.140625" style="1" customWidth="1"/>
    <col min="28" max="28" width="11.7109375" style="1" customWidth="1"/>
    <col min="29" max="29" width="13" style="1" customWidth="1"/>
    <col min="30" max="30" width="12.85546875" style="1" customWidth="1"/>
    <col min="31" max="31" width="13.42578125" style="1" customWidth="1"/>
    <col min="32" max="32" width="11.140625" style="1" customWidth="1"/>
    <col min="33" max="33" width="16.28515625" style="1" customWidth="1"/>
    <col min="34" max="34" width="14.7109375" style="1" customWidth="1"/>
    <col min="35" max="35" width="15.7109375" style="1" customWidth="1"/>
    <col min="36" max="36" width="15.42578125" style="1" bestFit="1" customWidth="1"/>
    <col min="37" max="37" width="15.85546875" style="1" customWidth="1"/>
    <col min="38" max="38" width="16.28515625" style="1" customWidth="1"/>
    <col min="39" max="39" width="15.85546875" style="1" customWidth="1"/>
    <col min="40" max="40" width="16.7109375" style="1" customWidth="1"/>
    <col min="41" max="41" width="16.5703125" style="1" customWidth="1"/>
    <col min="42" max="42" width="16.28515625" style="1" customWidth="1"/>
    <col min="43" max="43" width="15.28515625" style="1" customWidth="1"/>
    <col min="44" max="44" width="14.42578125" style="1" customWidth="1"/>
    <col min="45" max="45" width="18.85546875" style="1" customWidth="1"/>
    <col min="46" max="50" width="11.42578125" style="1"/>
    <col min="51" max="51" width="15.85546875" style="1" bestFit="1" customWidth="1"/>
    <col min="52" max="244" width="11.42578125" style="1"/>
    <col min="245" max="250" width="11.42578125" style="1" customWidth="1"/>
    <col min="251" max="251" width="11.42578125" style="1"/>
    <col min="252" max="253" width="16.85546875" style="1" customWidth="1"/>
    <col min="254" max="254" width="13.42578125" style="1" customWidth="1"/>
    <col min="255" max="256" width="11.42578125" style="1"/>
    <col min="257" max="257" width="14" style="1" customWidth="1"/>
    <col min="258" max="258" width="7.140625" style="1" customWidth="1"/>
    <col min="259" max="259" width="13.7109375" style="1" customWidth="1"/>
    <col min="260" max="260" width="12.42578125" style="1" customWidth="1"/>
    <col min="261" max="261" width="7.140625" style="1" customWidth="1"/>
    <col min="262" max="262" width="9.5703125" style="1" customWidth="1"/>
    <col min="263" max="263" width="16.140625" style="1" customWidth="1"/>
    <col min="264" max="264" width="15" style="1" customWidth="1"/>
    <col min="265" max="265" width="14.5703125" style="1" customWidth="1"/>
    <col min="266" max="267" width="12.42578125" style="1" customWidth="1"/>
    <col min="268" max="268" width="12.85546875" style="1" customWidth="1"/>
    <col min="269" max="270" width="12.42578125" style="1" customWidth="1"/>
    <col min="271" max="271" width="11.7109375" style="1" customWidth="1"/>
    <col min="272" max="272" width="16" style="1" customWidth="1"/>
    <col min="273" max="273" width="16.85546875" style="1" customWidth="1"/>
    <col min="274" max="274" width="12" style="1" customWidth="1"/>
    <col min="275" max="275" width="12.140625" style="1" customWidth="1"/>
    <col min="276" max="276" width="11.7109375" style="1" customWidth="1"/>
    <col min="277" max="278" width="11.42578125" style="1"/>
    <col min="279" max="279" width="14.7109375" style="1" customWidth="1"/>
    <col min="280" max="280" width="11.7109375" style="1" customWidth="1"/>
    <col min="281" max="284" width="13.42578125" style="1" customWidth="1"/>
    <col min="285" max="285" width="11.7109375" style="1" customWidth="1"/>
    <col min="286" max="286" width="13.5703125" style="1" customWidth="1"/>
    <col min="287" max="292" width="14.42578125" style="1" customWidth="1"/>
    <col min="293" max="293" width="12.28515625" style="1" customWidth="1"/>
    <col min="294" max="500" width="11.42578125" style="1"/>
    <col min="501" max="506" width="11.42578125" style="1" customWidth="1"/>
    <col min="507" max="507" width="11.42578125" style="1"/>
    <col min="508" max="509" width="16.85546875" style="1" customWidth="1"/>
    <col min="510" max="510" width="13.42578125" style="1" customWidth="1"/>
    <col min="511" max="512" width="11.42578125" style="1"/>
    <col min="513" max="513" width="14" style="1" customWidth="1"/>
    <col min="514" max="514" width="7.140625" style="1" customWidth="1"/>
    <col min="515" max="515" width="13.7109375" style="1" customWidth="1"/>
    <col min="516" max="516" width="12.42578125" style="1" customWidth="1"/>
    <col min="517" max="517" width="7.140625" style="1" customWidth="1"/>
    <col min="518" max="518" width="9.5703125" style="1" customWidth="1"/>
    <col min="519" max="519" width="16.140625" style="1" customWidth="1"/>
    <col min="520" max="520" width="15" style="1" customWidth="1"/>
    <col min="521" max="521" width="14.5703125" style="1" customWidth="1"/>
    <col min="522" max="523" width="12.42578125" style="1" customWidth="1"/>
    <col min="524" max="524" width="12.85546875" style="1" customWidth="1"/>
    <col min="525" max="526" width="12.42578125" style="1" customWidth="1"/>
    <col min="527" max="527" width="11.7109375" style="1" customWidth="1"/>
    <col min="528" max="528" width="16" style="1" customWidth="1"/>
    <col min="529" max="529" width="16.85546875" style="1" customWidth="1"/>
    <col min="530" max="530" width="12" style="1" customWidth="1"/>
    <col min="531" max="531" width="12.140625" style="1" customWidth="1"/>
    <col min="532" max="532" width="11.7109375" style="1" customWidth="1"/>
    <col min="533" max="534" width="11.42578125" style="1"/>
    <col min="535" max="535" width="14.7109375" style="1" customWidth="1"/>
    <col min="536" max="536" width="11.7109375" style="1" customWidth="1"/>
    <col min="537" max="540" width="13.42578125" style="1" customWidth="1"/>
    <col min="541" max="541" width="11.7109375" style="1" customWidth="1"/>
    <col min="542" max="542" width="13.5703125" style="1" customWidth="1"/>
    <col min="543" max="548" width="14.42578125" style="1" customWidth="1"/>
    <col min="549" max="549" width="12.28515625" style="1" customWidth="1"/>
    <col min="550" max="756" width="11.42578125" style="1"/>
    <col min="757" max="762" width="11.42578125" style="1" customWidth="1"/>
    <col min="763" max="763" width="11.42578125" style="1"/>
    <col min="764" max="765" width="16.85546875" style="1" customWidth="1"/>
    <col min="766" max="766" width="13.42578125" style="1" customWidth="1"/>
    <col min="767" max="768" width="11.42578125" style="1"/>
    <col min="769" max="769" width="14" style="1" customWidth="1"/>
    <col min="770" max="770" width="7.140625" style="1" customWidth="1"/>
    <col min="771" max="771" width="13.7109375" style="1" customWidth="1"/>
    <col min="772" max="772" width="12.42578125" style="1" customWidth="1"/>
    <col min="773" max="773" width="7.140625" style="1" customWidth="1"/>
    <col min="774" max="774" width="9.5703125" style="1" customWidth="1"/>
    <col min="775" max="775" width="16.140625" style="1" customWidth="1"/>
    <col min="776" max="776" width="15" style="1" customWidth="1"/>
    <col min="777" max="777" width="14.5703125" style="1" customWidth="1"/>
    <col min="778" max="779" width="12.42578125" style="1" customWidth="1"/>
    <col min="780" max="780" width="12.85546875" style="1" customWidth="1"/>
    <col min="781" max="782" width="12.42578125" style="1" customWidth="1"/>
    <col min="783" max="783" width="11.7109375" style="1" customWidth="1"/>
    <col min="784" max="784" width="16" style="1" customWidth="1"/>
    <col min="785" max="785" width="16.85546875" style="1" customWidth="1"/>
    <col min="786" max="786" width="12" style="1" customWidth="1"/>
    <col min="787" max="787" width="12.140625" style="1" customWidth="1"/>
    <col min="788" max="788" width="11.7109375" style="1" customWidth="1"/>
    <col min="789" max="790" width="11.42578125" style="1"/>
    <col min="791" max="791" width="14.7109375" style="1" customWidth="1"/>
    <col min="792" max="792" width="11.7109375" style="1" customWidth="1"/>
    <col min="793" max="796" width="13.42578125" style="1" customWidth="1"/>
    <col min="797" max="797" width="11.7109375" style="1" customWidth="1"/>
    <col min="798" max="798" width="13.5703125" style="1" customWidth="1"/>
    <col min="799" max="804" width="14.42578125" style="1" customWidth="1"/>
    <col min="805" max="805" width="12.28515625" style="1" customWidth="1"/>
    <col min="806" max="1012" width="11.42578125" style="1"/>
    <col min="1013" max="1018" width="11.42578125" style="1" customWidth="1"/>
    <col min="1019" max="1019" width="11.42578125" style="1"/>
    <col min="1020" max="1021" width="16.85546875" style="1" customWidth="1"/>
    <col min="1022" max="1022" width="13.42578125" style="1" customWidth="1"/>
    <col min="1023" max="1024" width="11.42578125" style="1"/>
    <col min="1025" max="1025" width="14" style="1" customWidth="1"/>
    <col min="1026" max="1026" width="7.140625" style="1" customWidth="1"/>
    <col min="1027" max="1027" width="13.7109375" style="1" customWidth="1"/>
    <col min="1028" max="1028" width="12.42578125" style="1" customWidth="1"/>
    <col min="1029" max="1029" width="7.140625" style="1" customWidth="1"/>
    <col min="1030" max="1030" width="9.5703125" style="1" customWidth="1"/>
    <col min="1031" max="1031" width="16.140625" style="1" customWidth="1"/>
    <col min="1032" max="1032" width="15" style="1" customWidth="1"/>
    <col min="1033" max="1033" width="14.5703125" style="1" customWidth="1"/>
    <col min="1034" max="1035" width="12.42578125" style="1" customWidth="1"/>
    <col min="1036" max="1036" width="12.85546875" style="1" customWidth="1"/>
    <col min="1037" max="1038" width="12.42578125" style="1" customWidth="1"/>
    <col min="1039" max="1039" width="11.7109375" style="1" customWidth="1"/>
    <col min="1040" max="1040" width="16" style="1" customWidth="1"/>
    <col min="1041" max="1041" width="16.85546875" style="1" customWidth="1"/>
    <col min="1042" max="1042" width="12" style="1" customWidth="1"/>
    <col min="1043" max="1043" width="12.140625" style="1" customWidth="1"/>
    <col min="1044" max="1044" width="11.7109375" style="1" customWidth="1"/>
    <col min="1045" max="1046" width="11.42578125" style="1"/>
    <col min="1047" max="1047" width="14.7109375" style="1" customWidth="1"/>
    <col min="1048" max="1048" width="11.7109375" style="1" customWidth="1"/>
    <col min="1049" max="1052" width="13.42578125" style="1" customWidth="1"/>
    <col min="1053" max="1053" width="11.7109375" style="1" customWidth="1"/>
    <col min="1054" max="1054" width="13.5703125" style="1" customWidth="1"/>
    <col min="1055" max="1060" width="14.42578125" style="1" customWidth="1"/>
    <col min="1061" max="1061" width="12.28515625" style="1" customWidth="1"/>
    <col min="1062" max="1268" width="11.42578125" style="1"/>
    <col min="1269" max="1274" width="11.42578125" style="1" customWidth="1"/>
    <col min="1275" max="1275" width="11.42578125" style="1"/>
    <col min="1276" max="1277" width="16.85546875" style="1" customWidth="1"/>
    <col min="1278" max="1278" width="13.42578125" style="1" customWidth="1"/>
    <col min="1279" max="1280" width="11.42578125" style="1"/>
    <col min="1281" max="1281" width="14" style="1" customWidth="1"/>
    <col min="1282" max="1282" width="7.140625" style="1" customWidth="1"/>
    <col min="1283" max="1283" width="13.7109375" style="1" customWidth="1"/>
    <col min="1284" max="1284" width="12.42578125" style="1" customWidth="1"/>
    <col min="1285" max="1285" width="7.140625" style="1" customWidth="1"/>
    <col min="1286" max="1286" width="9.5703125" style="1" customWidth="1"/>
    <col min="1287" max="1287" width="16.140625" style="1" customWidth="1"/>
    <col min="1288" max="1288" width="15" style="1" customWidth="1"/>
    <col min="1289" max="1289" width="14.5703125" style="1" customWidth="1"/>
    <col min="1290" max="1291" width="12.42578125" style="1" customWidth="1"/>
    <col min="1292" max="1292" width="12.85546875" style="1" customWidth="1"/>
    <col min="1293" max="1294" width="12.42578125" style="1" customWidth="1"/>
    <col min="1295" max="1295" width="11.7109375" style="1" customWidth="1"/>
    <col min="1296" max="1296" width="16" style="1" customWidth="1"/>
    <col min="1297" max="1297" width="16.85546875" style="1" customWidth="1"/>
    <col min="1298" max="1298" width="12" style="1" customWidth="1"/>
    <col min="1299" max="1299" width="12.140625" style="1" customWidth="1"/>
    <col min="1300" max="1300" width="11.7109375" style="1" customWidth="1"/>
    <col min="1301" max="1302" width="11.42578125" style="1"/>
    <col min="1303" max="1303" width="14.7109375" style="1" customWidth="1"/>
    <col min="1304" max="1304" width="11.7109375" style="1" customWidth="1"/>
    <col min="1305" max="1308" width="13.42578125" style="1" customWidth="1"/>
    <col min="1309" max="1309" width="11.7109375" style="1" customWidth="1"/>
    <col min="1310" max="1310" width="13.5703125" style="1" customWidth="1"/>
    <col min="1311" max="1316" width="14.42578125" style="1" customWidth="1"/>
    <col min="1317" max="1317" width="12.28515625" style="1" customWidth="1"/>
    <col min="1318" max="1524" width="11.42578125" style="1"/>
    <col min="1525" max="1530" width="11.42578125" style="1" customWidth="1"/>
    <col min="1531" max="1531" width="11.42578125" style="1"/>
    <col min="1532" max="1533" width="16.85546875" style="1" customWidth="1"/>
    <col min="1534" max="1534" width="13.42578125" style="1" customWidth="1"/>
    <col min="1535" max="1536" width="11.42578125" style="1"/>
    <col min="1537" max="1537" width="14" style="1" customWidth="1"/>
    <col min="1538" max="1538" width="7.140625" style="1" customWidth="1"/>
    <col min="1539" max="1539" width="13.7109375" style="1" customWidth="1"/>
    <col min="1540" max="1540" width="12.42578125" style="1" customWidth="1"/>
    <col min="1541" max="1541" width="7.140625" style="1" customWidth="1"/>
    <col min="1542" max="1542" width="9.5703125" style="1" customWidth="1"/>
    <col min="1543" max="1543" width="16.140625" style="1" customWidth="1"/>
    <col min="1544" max="1544" width="15" style="1" customWidth="1"/>
    <col min="1545" max="1545" width="14.5703125" style="1" customWidth="1"/>
    <col min="1546" max="1547" width="12.42578125" style="1" customWidth="1"/>
    <col min="1548" max="1548" width="12.85546875" style="1" customWidth="1"/>
    <col min="1549" max="1550" width="12.42578125" style="1" customWidth="1"/>
    <col min="1551" max="1551" width="11.7109375" style="1" customWidth="1"/>
    <col min="1552" max="1552" width="16" style="1" customWidth="1"/>
    <col min="1553" max="1553" width="16.85546875" style="1" customWidth="1"/>
    <col min="1554" max="1554" width="12" style="1" customWidth="1"/>
    <col min="1555" max="1555" width="12.140625" style="1" customWidth="1"/>
    <col min="1556" max="1556" width="11.7109375" style="1" customWidth="1"/>
    <col min="1557" max="1558" width="11.42578125" style="1"/>
    <col min="1559" max="1559" width="14.7109375" style="1" customWidth="1"/>
    <col min="1560" max="1560" width="11.7109375" style="1" customWidth="1"/>
    <col min="1561" max="1564" width="13.42578125" style="1" customWidth="1"/>
    <col min="1565" max="1565" width="11.7109375" style="1" customWidth="1"/>
    <col min="1566" max="1566" width="13.5703125" style="1" customWidth="1"/>
    <col min="1567" max="1572" width="14.42578125" style="1" customWidth="1"/>
    <col min="1573" max="1573" width="12.28515625" style="1" customWidth="1"/>
    <col min="1574" max="1780" width="11.42578125" style="1"/>
    <col min="1781" max="1786" width="11.42578125" style="1" customWidth="1"/>
    <col min="1787" max="1787" width="11.42578125" style="1"/>
    <col min="1788" max="1789" width="16.85546875" style="1" customWidth="1"/>
    <col min="1790" max="1790" width="13.42578125" style="1" customWidth="1"/>
    <col min="1791" max="1792" width="11.42578125" style="1"/>
    <col min="1793" max="1793" width="14" style="1" customWidth="1"/>
    <col min="1794" max="1794" width="7.140625" style="1" customWidth="1"/>
    <col min="1795" max="1795" width="13.7109375" style="1" customWidth="1"/>
    <col min="1796" max="1796" width="12.42578125" style="1" customWidth="1"/>
    <col min="1797" max="1797" width="7.140625" style="1" customWidth="1"/>
    <col min="1798" max="1798" width="9.5703125" style="1" customWidth="1"/>
    <col min="1799" max="1799" width="16.140625" style="1" customWidth="1"/>
    <col min="1800" max="1800" width="15" style="1" customWidth="1"/>
    <col min="1801" max="1801" width="14.5703125" style="1" customWidth="1"/>
    <col min="1802" max="1803" width="12.42578125" style="1" customWidth="1"/>
    <col min="1804" max="1804" width="12.85546875" style="1" customWidth="1"/>
    <col min="1805" max="1806" width="12.42578125" style="1" customWidth="1"/>
    <col min="1807" max="1807" width="11.7109375" style="1" customWidth="1"/>
    <col min="1808" max="1808" width="16" style="1" customWidth="1"/>
    <col min="1809" max="1809" width="16.85546875" style="1" customWidth="1"/>
    <col min="1810" max="1810" width="12" style="1" customWidth="1"/>
    <col min="1811" max="1811" width="12.140625" style="1" customWidth="1"/>
    <col min="1812" max="1812" width="11.7109375" style="1" customWidth="1"/>
    <col min="1813" max="1814" width="11.42578125" style="1"/>
    <col min="1815" max="1815" width="14.7109375" style="1" customWidth="1"/>
    <col min="1816" max="1816" width="11.7109375" style="1" customWidth="1"/>
    <col min="1817" max="1820" width="13.42578125" style="1" customWidth="1"/>
    <col min="1821" max="1821" width="11.7109375" style="1" customWidth="1"/>
    <col min="1822" max="1822" width="13.5703125" style="1" customWidth="1"/>
    <col min="1823" max="1828" width="14.42578125" style="1" customWidth="1"/>
    <col min="1829" max="1829" width="12.28515625" style="1" customWidth="1"/>
    <col min="1830" max="2036" width="11.42578125" style="1"/>
    <col min="2037" max="2042" width="11.42578125" style="1" customWidth="1"/>
    <col min="2043" max="2043" width="11.42578125" style="1"/>
    <col min="2044" max="2045" width="16.85546875" style="1" customWidth="1"/>
    <col min="2046" max="2046" width="13.42578125" style="1" customWidth="1"/>
    <col min="2047" max="2048" width="11.42578125" style="1"/>
    <col min="2049" max="2049" width="14" style="1" customWidth="1"/>
    <col min="2050" max="2050" width="7.140625" style="1" customWidth="1"/>
    <col min="2051" max="2051" width="13.7109375" style="1" customWidth="1"/>
    <col min="2052" max="2052" width="12.42578125" style="1" customWidth="1"/>
    <col min="2053" max="2053" width="7.140625" style="1" customWidth="1"/>
    <col min="2054" max="2054" width="9.5703125" style="1" customWidth="1"/>
    <col min="2055" max="2055" width="16.140625" style="1" customWidth="1"/>
    <col min="2056" max="2056" width="15" style="1" customWidth="1"/>
    <col min="2057" max="2057" width="14.5703125" style="1" customWidth="1"/>
    <col min="2058" max="2059" width="12.42578125" style="1" customWidth="1"/>
    <col min="2060" max="2060" width="12.85546875" style="1" customWidth="1"/>
    <col min="2061" max="2062" width="12.42578125" style="1" customWidth="1"/>
    <col min="2063" max="2063" width="11.7109375" style="1" customWidth="1"/>
    <col min="2064" max="2064" width="16" style="1" customWidth="1"/>
    <col min="2065" max="2065" width="16.85546875" style="1" customWidth="1"/>
    <col min="2066" max="2066" width="12" style="1" customWidth="1"/>
    <col min="2067" max="2067" width="12.140625" style="1" customWidth="1"/>
    <col min="2068" max="2068" width="11.7109375" style="1" customWidth="1"/>
    <col min="2069" max="2070" width="11.42578125" style="1"/>
    <col min="2071" max="2071" width="14.7109375" style="1" customWidth="1"/>
    <col min="2072" max="2072" width="11.7109375" style="1" customWidth="1"/>
    <col min="2073" max="2076" width="13.42578125" style="1" customWidth="1"/>
    <col min="2077" max="2077" width="11.7109375" style="1" customWidth="1"/>
    <col min="2078" max="2078" width="13.5703125" style="1" customWidth="1"/>
    <col min="2079" max="2084" width="14.42578125" style="1" customWidth="1"/>
    <col min="2085" max="2085" width="12.28515625" style="1" customWidth="1"/>
    <col min="2086" max="2292" width="11.42578125" style="1"/>
    <col min="2293" max="2298" width="11.42578125" style="1" customWidth="1"/>
    <col min="2299" max="2299" width="11.42578125" style="1"/>
    <col min="2300" max="2301" width="16.85546875" style="1" customWidth="1"/>
    <col min="2302" max="2302" width="13.42578125" style="1" customWidth="1"/>
    <col min="2303" max="2304" width="11.42578125" style="1"/>
    <col min="2305" max="2305" width="14" style="1" customWidth="1"/>
    <col min="2306" max="2306" width="7.140625" style="1" customWidth="1"/>
    <col min="2307" max="2307" width="13.7109375" style="1" customWidth="1"/>
    <col min="2308" max="2308" width="12.42578125" style="1" customWidth="1"/>
    <col min="2309" max="2309" width="7.140625" style="1" customWidth="1"/>
    <col min="2310" max="2310" width="9.5703125" style="1" customWidth="1"/>
    <col min="2311" max="2311" width="16.140625" style="1" customWidth="1"/>
    <col min="2312" max="2312" width="15" style="1" customWidth="1"/>
    <col min="2313" max="2313" width="14.5703125" style="1" customWidth="1"/>
    <col min="2314" max="2315" width="12.42578125" style="1" customWidth="1"/>
    <col min="2316" max="2316" width="12.85546875" style="1" customWidth="1"/>
    <col min="2317" max="2318" width="12.42578125" style="1" customWidth="1"/>
    <col min="2319" max="2319" width="11.7109375" style="1" customWidth="1"/>
    <col min="2320" max="2320" width="16" style="1" customWidth="1"/>
    <col min="2321" max="2321" width="16.85546875" style="1" customWidth="1"/>
    <col min="2322" max="2322" width="12" style="1" customWidth="1"/>
    <col min="2323" max="2323" width="12.140625" style="1" customWidth="1"/>
    <col min="2324" max="2324" width="11.7109375" style="1" customWidth="1"/>
    <col min="2325" max="2326" width="11.42578125" style="1"/>
    <col min="2327" max="2327" width="14.7109375" style="1" customWidth="1"/>
    <col min="2328" max="2328" width="11.7109375" style="1" customWidth="1"/>
    <col min="2329" max="2332" width="13.42578125" style="1" customWidth="1"/>
    <col min="2333" max="2333" width="11.7109375" style="1" customWidth="1"/>
    <col min="2334" max="2334" width="13.5703125" style="1" customWidth="1"/>
    <col min="2335" max="2340" width="14.42578125" style="1" customWidth="1"/>
    <col min="2341" max="2341" width="12.28515625" style="1" customWidth="1"/>
    <col min="2342" max="2548" width="11.42578125" style="1"/>
    <col min="2549" max="2554" width="11.42578125" style="1" customWidth="1"/>
    <col min="2555" max="2555" width="11.42578125" style="1"/>
    <col min="2556" max="2557" width="16.85546875" style="1" customWidth="1"/>
    <col min="2558" max="2558" width="13.42578125" style="1" customWidth="1"/>
    <col min="2559" max="2560" width="11.42578125" style="1"/>
    <col min="2561" max="2561" width="14" style="1" customWidth="1"/>
    <col min="2562" max="2562" width="7.140625" style="1" customWidth="1"/>
    <col min="2563" max="2563" width="13.7109375" style="1" customWidth="1"/>
    <col min="2564" max="2564" width="12.42578125" style="1" customWidth="1"/>
    <col min="2565" max="2565" width="7.140625" style="1" customWidth="1"/>
    <col min="2566" max="2566" width="9.5703125" style="1" customWidth="1"/>
    <col min="2567" max="2567" width="16.140625" style="1" customWidth="1"/>
    <col min="2568" max="2568" width="15" style="1" customWidth="1"/>
    <col min="2569" max="2569" width="14.5703125" style="1" customWidth="1"/>
    <col min="2570" max="2571" width="12.42578125" style="1" customWidth="1"/>
    <col min="2572" max="2572" width="12.85546875" style="1" customWidth="1"/>
    <col min="2573" max="2574" width="12.42578125" style="1" customWidth="1"/>
    <col min="2575" max="2575" width="11.7109375" style="1" customWidth="1"/>
    <col min="2576" max="2576" width="16" style="1" customWidth="1"/>
    <col min="2577" max="2577" width="16.85546875" style="1" customWidth="1"/>
    <col min="2578" max="2578" width="12" style="1" customWidth="1"/>
    <col min="2579" max="2579" width="12.140625" style="1" customWidth="1"/>
    <col min="2580" max="2580" width="11.7109375" style="1" customWidth="1"/>
    <col min="2581" max="2582" width="11.42578125" style="1"/>
    <col min="2583" max="2583" width="14.7109375" style="1" customWidth="1"/>
    <col min="2584" max="2584" width="11.7109375" style="1" customWidth="1"/>
    <col min="2585" max="2588" width="13.42578125" style="1" customWidth="1"/>
    <col min="2589" max="2589" width="11.7109375" style="1" customWidth="1"/>
    <col min="2590" max="2590" width="13.5703125" style="1" customWidth="1"/>
    <col min="2591" max="2596" width="14.42578125" style="1" customWidth="1"/>
    <col min="2597" max="2597" width="12.28515625" style="1" customWidth="1"/>
    <col min="2598" max="2804" width="11.42578125" style="1"/>
    <col min="2805" max="2810" width="11.42578125" style="1" customWidth="1"/>
    <col min="2811" max="2811" width="11.42578125" style="1"/>
    <col min="2812" max="2813" width="16.85546875" style="1" customWidth="1"/>
    <col min="2814" max="2814" width="13.42578125" style="1" customWidth="1"/>
    <col min="2815" max="2816" width="11.42578125" style="1"/>
    <col min="2817" max="2817" width="14" style="1" customWidth="1"/>
    <col min="2818" max="2818" width="7.140625" style="1" customWidth="1"/>
    <col min="2819" max="2819" width="13.7109375" style="1" customWidth="1"/>
    <col min="2820" max="2820" width="12.42578125" style="1" customWidth="1"/>
    <col min="2821" max="2821" width="7.140625" style="1" customWidth="1"/>
    <col min="2822" max="2822" width="9.5703125" style="1" customWidth="1"/>
    <col min="2823" max="2823" width="16.140625" style="1" customWidth="1"/>
    <col min="2824" max="2824" width="15" style="1" customWidth="1"/>
    <col min="2825" max="2825" width="14.5703125" style="1" customWidth="1"/>
    <col min="2826" max="2827" width="12.42578125" style="1" customWidth="1"/>
    <col min="2828" max="2828" width="12.85546875" style="1" customWidth="1"/>
    <col min="2829" max="2830" width="12.42578125" style="1" customWidth="1"/>
    <col min="2831" max="2831" width="11.7109375" style="1" customWidth="1"/>
    <col min="2832" max="2832" width="16" style="1" customWidth="1"/>
    <col min="2833" max="2833" width="16.85546875" style="1" customWidth="1"/>
    <col min="2834" max="2834" width="12" style="1" customWidth="1"/>
    <col min="2835" max="2835" width="12.140625" style="1" customWidth="1"/>
    <col min="2836" max="2836" width="11.7109375" style="1" customWidth="1"/>
    <col min="2837" max="2838" width="11.42578125" style="1"/>
    <col min="2839" max="2839" width="14.7109375" style="1" customWidth="1"/>
    <col min="2840" max="2840" width="11.7109375" style="1" customWidth="1"/>
    <col min="2841" max="2844" width="13.42578125" style="1" customWidth="1"/>
    <col min="2845" max="2845" width="11.7109375" style="1" customWidth="1"/>
    <col min="2846" max="2846" width="13.5703125" style="1" customWidth="1"/>
    <col min="2847" max="2852" width="14.42578125" style="1" customWidth="1"/>
    <col min="2853" max="2853" width="12.28515625" style="1" customWidth="1"/>
    <col min="2854" max="3060" width="11.42578125" style="1"/>
    <col min="3061" max="3066" width="11.42578125" style="1" customWidth="1"/>
    <col min="3067" max="3067" width="11.42578125" style="1"/>
    <col min="3068" max="3069" width="16.85546875" style="1" customWidth="1"/>
    <col min="3070" max="3070" width="13.42578125" style="1" customWidth="1"/>
    <col min="3071" max="3072" width="11.42578125" style="1"/>
    <col min="3073" max="3073" width="14" style="1" customWidth="1"/>
    <col min="3074" max="3074" width="7.140625" style="1" customWidth="1"/>
    <col min="3075" max="3075" width="13.7109375" style="1" customWidth="1"/>
    <col min="3076" max="3076" width="12.42578125" style="1" customWidth="1"/>
    <col min="3077" max="3077" width="7.140625" style="1" customWidth="1"/>
    <col min="3078" max="3078" width="9.5703125" style="1" customWidth="1"/>
    <col min="3079" max="3079" width="16.140625" style="1" customWidth="1"/>
    <col min="3080" max="3080" width="15" style="1" customWidth="1"/>
    <col min="3081" max="3081" width="14.5703125" style="1" customWidth="1"/>
    <col min="3082" max="3083" width="12.42578125" style="1" customWidth="1"/>
    <col min="3084" max="3084" width="12.85546875" style="1" customWidth="1"/>
    <col min="3085" max="3086" width="12.42578125" style="1" customWidth="1"/>
    <col min="3087" max="3087" width="11.7109375" style="1" customWidth="1"/>
    <col min="3088" max="3088" width="16" style="1" customWidth="1"/>
    <col min="3089" max="3089" width="16.85546875" style="1" customWidth="1"/>
    <col min="3090" max="3090" width="12" style="1" customWidth="1"/>
    <col min="3091" max="3091" width="12.140625" style="1" customWidth="1"/>
    <col min="3092" max="3092" width="11.7109375" style="1" customWidth="1"/>
    <col min="3093" max="3094" width="11.42578125" style="1"/>
    <col min="3095" max="3095" width="14.7109375" style="1" customWidth="1"/>
    <col min="3096" max="3096" width="11.7109375" style="1" customWidth="1"/>
    <col min="3097" max="3100" width="13.42578125" style="1" customWidth="1"/>
    <col min="3101" max="3101" width="11.7109375" style="1" customWidth="1"/>
    <col min="3102" max="3102" width="13.5703125" style="1" customWidth="1"/>
    <col min="3103" max="3108" width="14.42578125" style="1" customWidth="1"/>
    <col min="3109" max="3109" width="12.28515625" style="1" customWidth="1"/>
    <col min="3110" max="3316" width="11.42578125" style="1"/>
    <col min="3317" max="3322" width="11.42578125" style="1" customWidth="1"/>
    <col min="3323" max="3323" width="11.42578125" style="1"/>
    <col min="3324" max="3325" width="16.85546875" style="1" customWidth="1"/>
    <col min="3326" max="3326" width="13.42578125" style="1" customWidth="1"/>
    <col min="3327" max="3328" width="11.42578125" style="1"/>
    <col min="3329" max="3329" width="14" style="1" customWidth="1"/>
    <col min="3330" max="3330" width="7.140625" style="1" customWidth="1"/>
    <col min="3331" max="3331" width="13.7109375" style="1" customWidth="1"/>
    <col min="3332" max="3332" width="12.42578125" style="1" customWidth="1"/>
    <col min="3333" max="3333" width="7.140625" style="1" customWidth="1"/>
    <col min="3334" max="3334" width="9.5703125" style="1" customWidth="1"/>
    <col min="3335" max="3335" width="16.140625" style="1" customWidth="1"/>
    <col min="3336" max="3336" width="15" style="1" customWidth="1"/>
    <col min="3337" max="3337" width="14.5703125" style="1" customWidth="1"/>
    <col min="3338" max="3339" width="12.42578125" style="1" customWidth="1"/>
    <col min="3340" max="3340" width="12.85546875" style="1" customWidth="1"/>
    <col min="3341" max="3342" width="12.42578125" style="1" customWidth="1"/>
    <col min="3343" max="3343" width="11.7109375" style="1" customWidth="1"/>
    <col min="3344" max="3344" width="16" style="1" customWidth="1"/>
    <col min="3345" max="3345" width="16.85546875" style="1" customWidth="1"/>
    <col min="3346" max="3346" width="12" style="1" customWidth="1"/>
    <col min="3347" max="3347" width="12.140625" style="1" customWidth="1"/>
    <col min="3348" max="3348" width="11.7109375" style="1" customWidth="1"/>
    <col min="3349" max="3350" width="11.42578125" style="1"/>
    <col min="3351" max="3351" width="14.7109375" style="1" customWidth="1"/>
    <col min="3352" max="3352" width="11.7109375" style="1" customWidth="1"/>
    <col min="3353" max="3356" width="13.42578125" style="1" customWidth="1"/>
    <col min="3357" max="3357" width="11.7109375" style="1" customWidth="1"/>
    <col min="3358" max="3358" width="13.5703125" style="1" customWidth="1"/>
    <col min="3359" max="3364" width="14.42578125" style="1" customWidth="1"/>
    <col min="3365" max="3365" width="12.28515625" style="1" customWidth="1"/>
    <col min="3366" max="3572" width="11.42578125" style="1"/>
    <col min="3573" max="3578" width="11.42578125" style="1" customWidth="1"/>
    <col min="3579" max="3579" width="11.42578125" style="1"/>
    <col min="3580" max="3581" width="16.85546875" style="1" customWidth="1"/>
    <col min="3582" max="3582" width="13.42578125" style="1" customWidth="1"/>
    <col min="3583" max="3584" width="11.42578125" style="1"/>
    <col min="3585" max="3585" width="14" style="1" customWidth="1"/>
    <col min="3586" max="3586" width="7.140625" style="1" customWidth="1"/>
    <col min="3587" max="3587" width="13.7109375" style="1" customWidth="1"/>
    <col min="3588" max="3588" width="12.42578125" style="1" customWidth="1"/>
    <col min="3589" max="3589" width="7.140625" style="1" customWidth="1"/>
    <col min="3590" max="3590" width="9.5703125" style="1" customWidth="1"/>
    <col min="3591" max="3591" width="16.140625" style="1" customWidth="1"/>
    <col min="3592" max="3592" width="15" style="1" customWidth="1"/>
    <col min="3593" max="3593" width="14.5703125" style="1" customWidth="1"/>
    <col min="3594" max="3595" width="12.42578125" style="1" customWidth="1"/>
    <col min="3596" max="3596" width="12.85546875" style="1" customWidth="1"/>
    <col min="3597" max="3598" width="12.42578125" style="1" customWidth="1"/>
    <col min="3599" max="3599" width="11.7109375" style="1" customWidth="1"/>
    <col min="3600" max="3600" width="16" style="1" customWidth="1"/>
    <col min="3601" max="3601" width="16.85546875" style="1" customWidth="1"/>
    <col min="3602" max="3602" width="12" style="1" customWidth="1"/>
    <col min="3603" max="3603" width="12.140625" style="1" customWidth="1"/>
    <col min="3604" max="3604" width="11.7109375" style="1" customWidth="1"/>
    <col min="3605" max="3606" width="11.42578125" style="1"/>
    <col min="3607" max="3607" width="14.7109375" style="1" customWidth="1"/>
    <col min="3608" max="3608" width="11.7109375" style="1" customWidth="1"/>
    <col min="3609" max="3612" width="13.42578125" style="1" customWidth="1"/>
    <col min="3613" max="3613" width="11.7109375" style="1" customWidth="1"/>
    <col min="3614" max="3614" width="13.5703125" style="1" customWidth="1"/>
    <col min="3615" max="3620" width="14.42578125" style="1" customWidth="1"/>
    <col min="3621" max="3621" width="12.28515625" style="1" customWidth="1"/>
    <col min="3622" max="3828" width="11.42578125" style="1"/>
    <col min="3829" max="3834" width="11.42578125" style="1" customWidth="1"/>
    <col min="3835" max="3835" width="11.42578125" style="1"/>
    <col min="3836" max="3837" width="16.85546875" style="1" customWidth="1"/>
    <col min="3838" max="3838" width="13.42578125" style="1" customWidth="1"/>
    <col min="3839" max="3840" width="11.42578125" style="1"/>
    <col min="3841" max="3841" width="14" style="1" customWidth="1"/>
    <col min="3842" max="3842" width="7.140625" style="1" customWidth="1"/>
    <col min="3843" max="3843" width="13.7109375" style="1" customWidth="1"/>
    <col min="3844" max="3844" width="12.42578125" style="1" customWidth="1"/>
    <col min="3845" max="3845" width="7.140625" style="1" customWidth="1"/>
    <col min="3846" max="3846" width="9.5703125" style="1" customWidth="1"/>
    <col min="3847" max="3847" width="16.140625" style="1" customWidth="1"/>
    <col min="3848" max="3848" width="15" style="1" customWidth="1"/>
    <col min="3849" max="3849" width="14.5703125" style="1" customWidth="1"/>
    <col min="3850" max="3851" width="12.42578125" style="1" customWidth="1"/>
    <col min="3852" max="3852" width="12.85546875" style="1" customWidth="1"/>
    <col min="3853" max="3854" width="12.42578125" style="1" customWidth="1"/>
    <col min="3855" max="3855" width="11.7109375" style="1" customWidth="1"/>
    <col min="3856" max="3856" width="16" style="1" customWidth="1"/>
    <col min="3857" max="3857" width="16.85546875" style="1" customWidth="1"/>
    <col min="3858" max="3858" width="12" style="1" customWidth="1"/>
    <col min="3859" max="3859" width="12.140625" style="1" customWidth="1"/>
    <col min="3860" max="3860" width="11.7109375" style="1" customWidth="1"/>
    <col min="3861" max="3862" width="11.42578125" style="1"/>
    <col min="3863" max="3863" width="14.7109375" style="1" customWidth="1"/>
    <col min="3864" max="3864" width="11.7109375" style="1" customWidth="1"/>
    <col min="3865" max="3868" width="13.42578125" style="1" customWidth="1"/>
    <col min="3869" max="3869" width="11.7109375" style="1" customWidth="1"/>
    <col min="3870" max="3870" width="13.5703125" style="1" customWidth="1"/>
    <col min="3871" max="3876" width="14.42578125" style="1" customWidth="1"/>
    <col min="3877" max="3877" width="12.28515625" style="1" customWidth="1"/>
    <col min="3878" max="4084" width="11.42578125" style="1"/>
    <col min="4085" max="4090" width="11.42578125" style="1" customWidth="1"/>
    <col min="4091" max="4091" width="11.42578125" style="1"/>
    <col min="4092" max="4093" width="16.85546875" style="1" customWidth="1"/>
    <col min="4094" max="4094" width="13.42578125" style="1" customWidth="1"/>
    <col min="4095" max="4096" width="11.42578125" style="1"/>
    <col min="4097" max="4097" width="14" style="1" customWidth="1"/>
    <col min="4098" max="4098" width="7.140625" style="1" customWidth="1"/>
    <col min="4099" max="4099" width="13.7109375" style="1" customWidth="1"/>
    <col min="4100" max="4100" width="12.42578125" style="1" customWidth="1"/>
    <col min="4101" max="4101" width="7.140625" style="1" customWidth="1"/>
    <col min="4102" max="4102" width="9.5703125" style="1" customWidth="1"/>
    <col min="4103" max="4103" width="16.140625" style="1" customWidth="1"/>
    <col min="4104" max="4104" width="15" style="1" customWidth="1"/>
    <col min="4105" max="4105" width="14.5703125" style="1" customWidth="1"/>
    <col min="4106" max="4107" width="12.42578125" style="1" customWidth="1"/>
    <col min="4108" max="4108" width="12.85546875" style="1" customWidth="1"/>
    <col min="4109" max="4110" width="12.42578125" style="1" customWidth="1"/>
    <col min="4111" max="4111" width="11.7109375" style="1" customWidth="1"/>
    <col min="4112" max="4112" width="16" style="1" customWidth="1"/>
    <col min="4113" max="4113" width="16.85546875" style="1" customWidth="1"/>
    <col min="4114" max="4114" width="12" style="1" customWidth="1"/>
    <col min="4115" max="4115" width="12.140625" style="1" customWidth="1"/>
    <col min="4116" max="4116" width="11.7109375" style="1" customWidth="1"/>
    <col min="4117" max="4118" width="11.42578125" style="1"/>
    <col min="4119" max="4119" width="14.7109375" style="1" customWidth="1"/>
    <col min="4120" max="4120" width="11.7109375" style="1" customWidth="1"/>
    <col min="4121" max="4124" width="13.42578125" style="1" customWidth="1"/>
    <col min="4125" max="4125" width="11.7109375" style="1" customWidth="1"/>
    <col min="4126" max="4126" width="13.5703125" style="1" customWidth="1"/>
    <col min="4127" max="4132" width="14.42578125" style="1" customWidth="1"/>
    <col min="4133" max="4133" width="12.28515625" style="1" customWidth="1"/>
    <col min="4134" max="4340" width="11.42578125" style="1"/>
    <col min="4341" max="4346" width="11.42578125" style="1" customWidth="1"/>
    <col min="4347" max="4347" width="11.42578125" style="1"/>
    <col min="4348" max="4349" width="16.85546875" style="1" customWidth="1"/>
    <col min="4350" max="4350" width="13.42578125" style="1" customWidth="1"/>
    <col min="4351" max="4352" width="11.42578125" style="1"/>
    <col min="4353" max="4353" width="14" style="1" customWidth="1"/>
    <col min="4354" max="4354" width="7.140625" style="1" customWidth="1"/>
    <col min="4355" max="4355" width="13.7109375" style="1" customWidth="1"/>
    <col min="4356" max="4356" width="12.42578125" style="1" customWidth="1"/>
    <col min="4357" max="4357" width="7.140625" style="1" customWidth="1"/>
    <col min="4358" max="4358" width="9.5703125" style="1" customWidth="1"/>
    <col min="4359" max="4359" width="16.140625" style="1" customWidth="1"/>
    <col min="4360" max="4360" width="15" style="1" customWidth="1"/>
    <col min="4361" max="4361" width="14.5703125" style="1" customWidth="1"/>
    <col min="4362" max="4363" width="12.42578125" style="1" customWidth="1"/>
    <col min="4364" max="4364" width="12.85546875" style="1" customWidth="1"/>
    <col min="4365" max="4366" width="12.42578125" style="1" customWidth="1"/>
    <col min="4367" max="4367" width="11.7109375" style="1" customWidth="1"/>
    <col min="4368" max="4368" width="16" style="1" customWidth="1"/>
    <col min="4369" max="4369" width="16.85546875" style="1" customWidth="1"/>
    <col min="4370" max="4370" width="12" style="1" customWidth="1"/>
    <col min="4371" max="4371" width="12.140625" style="1" customWidth="1"/>
    <col min="4372" max="4372" width="11.7109375" style="1" customWidth="1"/>
    <col min="4373" max="4374" width="11.42578125" style="1"/>
    <col min="4375" max="4375" width="14.7109375" style="1" customWidth="1"/>
    <col min="4376" max="4376" width="11.7109375" style="1" customWidth="1"/>
    <col min="4377" max="4380" width="13.42578125" style="1" customWidth="1"/>
    <col min="4381" max="4381" width="11.7109375" style="1" customWidth="1"/>
    <col min="4382" max="4382" width="13.5703125" style="1" customWidth="1"/>
    <col min="4383" max="4388" width="14.42578125" style="1" customWidth="1"/>
    <col min="4389" max="4389" width="12.28515625" style="1" customWidth="1"/>
    <col min="4390" max="4596" width="11.42578125" style="1"/>
    <col min="4597" max="4602" width="11.42578125" style="1" customWidth="1"/>
    <col min="4603" max="4603" width="11.42578125" style="1"/>
    <col min="4604" max="4605" width="16.85546875" style="1" customWidth="1"/>
    <col min="4606" max="4606" width="13.42578125" style="1" customWidth="1"/>
    <col min="4607" max="4608" width="11.42578125" style="1"/>
    <col min="4609" max="4609" width="14" style="1" customWidth="1"/>
    <col min="4610" max="4610" width="7.140625" style="1" customWidth="1"/>
    <col min="4611" max="4611" width="13.7109375" style="1" customWidth="1"/>
    <col min="4612" max="4612" width="12.42578125" style="1" customWidth="1"/>
    <col min="4613" max="4613" width="7.140625" style="1" customWidth="1"/>
    <col min="4614" max="4614" width="9.5703125" style="1" customWidth="1"/>
    <col min="4615" max="4615" width="16.140625" style="1" customWidth="1"/>
    <col min="4616" max="4616" width="15" style="1" customWidth="1"/>
    <col min="4617" max="4617" width="14.5703125" style="1" customWidth="1"/>
    <col min="4618" max="4619" width="12.42578125" style="1" customWidth="1"/>
    <col min="4620" max="4620" width="12.85546875" style="1" customWidth="1"/>
    <col min="4621" max="4622" width="12.42578125" style="1" customWidth="1"/>
    <col min="4623" max="4623" width="11.7109375" style="1" customWidth="1"/>
    <col min="4624" max="4624" width="16" style="1" customWidth="1"/>
    <col min="4625" max="4625" width="16.85546875" style="1" customWidth="1"/>
    <col min="4626" max="4626" width="12" style="1" customWidth="1"/>
    <col min="4627" max="4627" width="12.140625" style="1" customWidth="1"/>
    <col min="4628" max="4628" width="11.7109375" style="1" customWidth="1"/>
    <col min="4629" max="4630" width="11.42578125" style="1"/>
    <col min="4631" max="4631" width="14.7109375" style="1" customWidth="1"/>
    <col min="4632" max="4632" width="11.7109375" style="1" customWidth="1"/>
    <col min="4633" max="4636" width="13.42578125" style="1" customWidth="1"/>
    <col min="4637" max="4637" width="11.7109375" style="1" customWidth="1"/>
    <col min="4638" max="4638" width="13.5703125" style="1" customWidth="1"/>
    <col min="4639" max="4644" width="14.42578125" style="1" customWidth="1"/>
    <col min="4645" max="4645" width="12.28515625" style="1" customWidth="1"/>
    <col min="4646" max="4852" width="11.42578125" style="1"/>
    <col min="4853" max="4858" width="11.42578125" style="1" customWidth="1"/>
    <col min="4859" max="4859" width="11.42578125" style="1"/>
    <col min="4860" max="4861" width="16.85546875" style="1" customWidth="1"/>
    <col min="4862" max="4862" width="13.42578125" style="1" customWidth="1"/>
    <col min="4863" max="4864" width="11.42578125" style="1"/>
    <col min="4865" max="4865" width="14" style="1" customWidth="1"/>
    <col min="4866" max="4866" width="7.140625" style="1" customWidth="1"/>
    <col min="4867" max="4867" width="13.7109375" style="1" customWidth="1"/>
    <col min="4868" max="4868" width="12.42578125" style="1" customWidth="1"/>
    <col min="4869" max="4869" width="7.140625" style="1" customWidth="1"/>
    <col min="4870" max="4870" width="9.5703125" style="1" customWidth="1"/>
    <col min="4871" max="4871" width="16.140625" style="1" customWidth="1"/>
    <col min="4872" max="4872" width="15" style="1" customWidth="1"/>
    <col min="4873" max="4873" width="14.5703125" style="1" customWidth="1"/>
    <col min="4874" max="4875" width="12.42578125" style="1" customWidth="1"/>
    <col min="4876" max="4876" width="12.85546875" style="1" customWidth="1"/>
    <col min="4877" max="4878" width="12.42578125" style="1" customWidth="1"/>
    <col min="4879" max="4879" width="11.7109375" style="1" customWidth="1"/>
    <col min="4880" max="4880" width="16" style="1" customWidth="1"/>
    <col min="4881" max="4881" width="16.85546875" style="1" customWidth="1"/>
    <col min="4882" max="4882" width="12" style="1" customWidth="1"/>
    <col min="4883" max="4883" width="12.140625" style="1" customWidth="1"/>
    <col min="4884" max="4884" width="11.7109375" style="1" customWidth="1"/>
    <col min="4885" max="4886" width="11.42578125" style="1"/>
    <col min="4887" max="4887" width="14.7109375" style="1" customWidth="1"/>
    <col min="4888" max="4888" width="11.7109375" style="1" customWidth="1"/>
    <col min="4889" max="4892" width="13.42578125" style="1" customWidth="1"/>
    <col min="4893" max="4893" width="11.7109375" style="1" customWidth="1"/>
    <col min="4894" max="4894" width="13.5703125" style="1" customWidth="1"/>
    <col min="4895" max="4900" width="14.42578125" style="1" customWidth="1"/>
    <col min="4901" max="4901" width="12.28515625" style="1" customWidth="1"/>
    <col min="4902" max="5108" width="11.42578125" style="1"/>
    <col min="5109" max="5114" width="11.42578125" style="1" customWidth="1"/>
    <col min="5115" max="5115" width="11.42578125" style="1"/>
    <col min="5116" max="5117" width="16.85546875" style="1" customWidth="1"/>
    <col min="5118" max="5118" width="13.42578125" style="1" customWidth="1"/>
    <col min="5119" max="5120" width="11.42578125" style="1"/>
    <col min="5121" max="5121" width="14" style="1" customWidth="1"/>
    <col min="5122" max="5122" width="7.140625" style="1" customWidth="1"/>
    <col min="5123" max="5123" width="13.7109375" style="1" customWidth="1"/>
    <col min="5124" max="5124" width="12.42578125" style="1" customWidth="1"/>
    <col min="5125" max="5125" width="7.140625" style="1" customWidth="1"/>
    <col min="5126" max="5126" width="9.5703125" style="1" customWidth="1"/>
    <col min="5127" max="5127" width="16.140625" style="1" customWidth="1"/>
    <col min="5128" max="5128" width="15" style="1" customWidth="1"/>
    <col min="5129" max="5129" width="14.5703125" style="1" customWidth="1"/>
    <col min="5130" max="5131" width="12.42578125" style="1" customWidth="1"/>
    <col min="5132" max="5132" width="12.85546875" style="1" customWidth="1"/>
    <col min="5133" max="5134" width="12.42578125" style="1" customWidth="1"/>
    <col min="5135" max="5135" width="11.7109375" style="1" customWidth="1"/>
    <col min="5136" max="5136" width="16" style="1" customWidth="1"/>
    <col min="5137" max="5137" width="16.85546875" style="1" customWidth="1"/>
    <col min="5138" max="5138" width="12" style="1" customWidth="1"/>
    <col min="5139" max="5139" width="12.140625" style="1" customWidth="1"/>
    <col min="5140" max="5140" width="11.7109375" style="1" customWidth="1"/>
    <col min="5141" max="5142" width="11.42578125" style="1"/>
    <col min="5143" max="5143" width="14.7109375" style="1" customWidth="1"/>
    <col min="5144" max="5144" width="11.7109375" style="1" customWidth="1"/>
    <col min="5145" max="5148" width="13.42578125" style="1" customWidth="1"/>
    <col min="5149" max="5149" width="11.7109375" style="1" customWidth="1"/>
    <col min="5150" max="5150" width="13.5703125" style="1" customWidth="1"/>
    <col min="5151" max="5156" width="14.42578125" style="1" customWidth="1"/>
    <col min="5157" max="5157" width="12.28515625" style="1" customWidth="1"/>
    <col min="5158" max="5364" width="11.42578125" style="1"/>
    <col min="5365" max="5370" width="11.42578125" style="1" customWidth="1"/>
    <col min="5371" max="5371" width="11.42578125" style="1"/>
    <col min="5372" max="5373" width="16.85546875" style="1" customWidth="1"/>
    <col min="5374" max="5374" width="13.42578125" style="1" customWidth="1"/>
    <col min="5375" max="5376" width="11.42578125" style="1"/>
    <col min="5377" max="5377" width="14" style="1" customWidth="1"/>
    <col min="5378" max="5378" width="7.140625" style="1" customWidth="1"/>
    <col min="5379" max="5379" width="13.7109375" style="1" customWidth="1"/>
    <col min="5380" max="5380" width="12.42578125" style="1" customWidth="1"/>
    <col min="5381" max="5381" width="7.140625" style="1" customWidth="1"/>
    <col min="5382" max="5382" width="9.5703125" style="1" customWidth="1"/>
    <col min="5383" max="5383" width="16.140625" style="1" customWidth="1"/>
    <col min="5384" max="5384" width="15" style="1" customWidth="1"/>
    <col min="5385" max="5385" width="14.5703125" style="1" customWidth="1"/>
    <col min="5386" max="5387" width="12.42578125" style="1" customWidth="1"/>
    <col min="5388" max="5388" width="12.85546875" style="1" customWidth="1"/>
    <col min="5389" max="5390" width="12.42578125" style="1" customWidth="1"/>
    <col min="5391" max="5391" width="11.7109375" style="1" customWidth="1"/>
    <col min="5392" max="5392" width="16" style="1" customWidth="1"/>
    <col min="5393" max="5393" width="16.85546875" style="1" customWidth="1"/>
    <col min="5394" max="5394" width="12" style="1" customWidth="1"/>
    <col min="5395" max="5395" width="12.140625" style="1" customWidth="1"/>
    <col min="5396" max="5396" width="11.7109375" style="1" customWidth="1"/>
    <col min="5397" max="5398" width="11.42578125" style="1"/>
    <col min="5399" max="5399" width="14.7109375" style="1" customWidth="1"/>
    <col min="5400" max="5400" width="11.7109375" style="1" customWidth="1"/>
    <col min="5401" max="5404" width="13.42578125" style="1" customWidth="1"/>
    <col min="5405" max="5405" width="11.7109375" style="1" customWidth="1"/>
    <col min="5406" max="5406" width="13.5703125" style="1" customWidth="1"/>
    <col min="5407" max="5412" width="14.42578125" style="1" customWidth="1"/>
    <col min="5413" max="5413" width="12.28515625" style="1" customWidth="1"/>
    <col min="5414" max="5620" width="11.42578125" style="1"/>
    <col min="5621" max="5626" width="11.42578125" style="1" customWidth="1"/>
    <col min="5627" max="5627" width="11.42578125" style="1"/>
    <col min="5628" max="5629" width="16.85546875" style="1" customWidth="1"/>
    <col min="5630" max="5630" width="13.42578125" style="1" customWidth="1"/>
    <col min="5631" max="5632" width="11.42578125" style="1"/>
    <col min="5633" max="5633" width="14" style="1" customWidth="1"/>
    <col min="5634" max="5634" width="7.140625" style="1" customWidth="1"/>
    <col min="5635" max="5635" width="13.7109375" style="1" customWidth="1"/>
    <col min="5636" max="5636" width="12.42578125" style="1" customWidth="1"/>
    <col min="5637" max="5637" width="7.140625" style="1" customWidth="1"/>
    <col min="5638" max="5638" width="9.5703125" style="1" customWidth="1"/>
    <col min="5639" max="5639" width="16.140625" style="1" customWidth="1"/>
    <col min="5640" max="5640" width="15" style="1" customWidth="1"/>
    <col min="5641" max="5641" width="14.5703125" style="1" customWidth="1"/>
    <col min="5642" max="5643" width="12.42578125" style="1" customWidth="1"/>
    <col min="5644" max="5644" width="12.85546875" style="1" customWidth="1"/>
    <col min="5645" max="5646" width="12.42578125" style="1" customWidth="1"/>
    <col min="5647" max="5647" width="11.7109375" style="1" customWidth="1"/>
    <col min="5648" max="5648" width="16" style="1" customWidth="1"/>
    <col min="5649" max="5649" width="16.85546875" style="1" customWidth="1"/>
    <col min="5650" max="5650" width="12" style="1" customWidth="1"/>
    <col min="5651" max="5651" width="12.140625" style="1" customWidth="1"/>
    <col min="5652" max="5652" width="11.7109375" style="1" customWidth="1"/>
    <col min="5653" max="5654" width="11.42578125" style="1"/>
    <col min="5655" max="5655" width="14.7109375" style="1" customWidth="1"/>
    <col min="5656" max="5656" width="11.7109375" style="1" customWidth="1"/>
    <col min="5657" max="5660" width="13.42578125" style="1" customWidth="1"/>
    <col min="5661" max="5661" width="11.7109375" style="1" customWidth="1"/>
    <col min="5662" max="5662" width="13.5703125" style="1" customWidth="1"/>
    <col min="5663" max="5668" width="14.42578125" style="1" customWidth="1"/>
    <col min="5669" max="5669" width="12.28515625" style="1" customWidth="1"/>
    <col min="5670" max="5876" width="11.42578125" style="1"/>
    <col min="5877" max="5882" width="11.42578125" style="1" customWidth="1"/>
    <col min="5883" max="5883" width="11.42578125" style="1"/>
    <col min="5884" max="5885" width="16.85546875" style="1" customWidth="1"/>
    <col min="5886" max="5886" width="13.42578125" style="1" customWidth="1"/>
    <col min="5887" max="5888" width="11.42578125" style="1"/>
    <col min="5889" max="5889" width="14" style="1" customWidth="1"/>
    <col min="5890" max="5890" width="7.140625" style="1" customWidth="1"/>
    <col min="5891" max="5891" width="13.7109375" style="1" customWidth="1"/>
    <col min="5892" max="5892" width="12.42578125" style="1" customWidth="1"/>
    <col min="5893" max="5893" width="7.140625" style="1" customWidth="1"/>
    <col min="5894" max="5894" width="9.5703125" style="1" customWidth="1"/>
    <col min="5895" max="5895" width="16.140625" style="1" customWidth="1"/>
    <col min="5896" max="5896" width="15" style="1" customWidth="1"/>
    <col min="5897" max="5897" width="14.5703125" style="1" customWidth="1"/>
    <col min="5898" max="5899" width="12.42578125" style="1" customWidth="1"/>
    <col min="5900" max="5900" width="12.85546875" style="1" customWidth="1"/>
    <col min="5901" max="5902" width="12.42578125" style="1" customWidth="1"/>
    <col min="5903" max="5903" width="11.7109375" style="1" customWidth="1"/>
    <col min="5904" max="5904" width="16" style="1" customWidth="1"/>
    <col min="5905" max="5905" width="16.85546875" style="1" customWidth="1"/>
    <col min="5906" max="5906" width="12" style="1" customWidth="1"/>
    <col min="5907" max="5907" width="12.140625" style="1" customWidth="1"/>
    <col min="5908" max="5908" width="11.7109375" style="1" customWidth="1"/>
    <col min="5909" max="5910" width="11.42578125" style="1"/>
    <col min="5911" max="5911" width="14.7109375" style="1" customWidth="1"/>
    <col min="5912" max="5912" width="11.7109375" style="1" customWidth="1"/>
    <col min="5913" max="5916" width="13.42578125" style="1" customWidth="1"/>
    <col min="5917" max="5917" width="11.7109375" style="1" customWidth="1"/>
    <col min="5918" max="5918" width="13.5703125" style="1" customWidth="1"/>
    <col min="5919" max="5924" width="14.42578125" style="1" customWidth="1"/>
    <col min="5925" max="5925" width="12.28515625" style="1" customWidth="1"/>
    <col min="5926" max="6132" width="11.42578125" style="1"/>
    <col min="6133" max="6138" width="11.42578125" style="1" customWidth="1"/>
    <col min="6139" max="6139" width="11.42578125" style="1"/>
    <col min="6140" max="6141" width="16.85546875" style="1" customWidth="1"/>
    <col min="6142" max="6142" width="13.42578125" style="1" customWidth="1"/>
    <col min="6143" max="6144" width="11.42578125" style="1"/>
    <col min="6145" max="6145" width="14" style="1" customWidth="1"/>
    <col min="6146" max="6146" width="7.140625" style="1" customWidth="1"/>
    <col min="6147" max="6147" width="13.7109375" style="1" customWidth="1"/>
    <col min="6148" max="6148" width="12.42578125" style="1" customWidth="1"/>
    <col min="6149" max="6149" width="7.140625" style="1" customWidth="1"/>
    <col min="6150" max="6150" width="9.5703125" style="1" customWidth="1"/>
    <col min="6151" max="6151" width="16.140625" style="1" customWidth="1"/>
    <col min="6152" max="6152" width="15" style="1" customWidth="1"/>
    <col min="6153" max="6153" width="14.5703125" style="1" customWidth="1"/>
    <col min="6154" max="6155" width="12.42578125" style="1" customWidth="1"/>
    <col min="6156" max="6156" width="12.85546875" style="1" customWidth="1"/>
    <col min="6157" max="6158" width="12.42578125" style="1" customWidth="1"/>
    <col min="6159" max="6159" width="11.7109375" style="1" customWidth="1"/>
    <col min="6160" max="6160" width="16" style="1" customWidth="1"/>
    <col min="6161" max="6161" width="16.85546875" style="1" customWidth="1"/>
    <col min="6162" max="6162" width="12" style="1" customWidth="1"/>
    <col min="6163" max="6163" width="12.140625" style="1" customWidth="1"/>
    <col min="6164" max="6164" width="11.7109375" style="1" customWidth="1"/>
    <col min="6165" max="6166" width="11.42578125" style="1"/>
    <col min="6167" max="6167" width="14.7109375" style="1" customWidth="1"/>
    <col min="6168" max="6168" width="11.7109375" style="1" customWidth="1"/>
    <col min="6169" max="6172" width="13.42578125" style="1" customWidth="1"/>
    <col min="6173" max="6173" width="11.7109375" style="1" customWidth="1"/>
    <col min="6174" max="6174" width="13.5703125" style="1" customWidth="1"/>
    <col min="6175" max="6180" width="14.42578125" style="1" customWidth="1"/>
    <col min="6181" max="6181" width="12.28515625" style="1" customWidth="1"/>
    <col min="6182" max="6388" width="11.42578125" style="1"/>
    <col min="6389" max="6394" width="11.42578125" style="1" customWidth="1"/>
    <col min="6395" max="6395" width="11.42578125" style="1"/>
    <col min="6396" max="6397" width="16.85546875" style="1" customWidth="1"/>
    <col min="6398" max="6398" width="13.42578125" style="1" customWidth="1"/>
    <col min="6399" max="6400" width="11.42578125" style="1"/>
    <col min="6401" max="6401" width="14" style="1" customWidth="1"/>
    <col min="6402" max="6402" width="7.140625" style="1" customWidth="1"/>
    <col min="6403" max="6403" width="13.7109375" style="1" customWidth="1"/>
    <col min="6404" max="6404" width="12.42578125" style="1" customWidth="1"/>
    <col min="6405" max="6405" width="7.140625" style="1" customWidth="1"/>
    <col min="6406" max="6406" width="9.5703125" style="1" customWidth="1"/>
    <col min="6407" max="6407" width="16.140625" style="1" customWidth="1"/>
    <col min="6408" max="6408" width="15" style="1" customWidth="1"/>
    <col min="6409" max="6409" width="14.5703125" style="1" customWidth="1"/>
    <col min="6410" max="6411" width="12.42578125" style="1" customWidth="1"/>
    <col min="6412" max="6412" width="12.85546875" style="1" customWidth="1"/>
    <col min="6413" max="6414" width="12.42578125" style="1" customWidth="1"/>
    <col min="6415" max="6415" width="11.7109375" style="1" customWidth="1"/>
    <col min="6416" max="6416" width="16" style="1" customWidth="1"/>
    <col min="6417" max="6417" width="16.85546875" style="1" customWidth="1"/>
    <col min="6418" max="6418" width="12" style="1" customWidth="1"/>
    <col min="6419" max="6419" width="12.140625" style="1" customWidth="1"/>
    <col min="6420" max="6420" width="11.7109375" style="1" customWidth="1"/>
    <col min="6421" max="6422" width="11.42578125" style="1"/>
    <col min="6423" max="6423" width="14.7109375" style="1" customWidth="1"/>
    <col min="6424" max="6424" width="11.7109375" style="1" customWidth="1"/>
    <col min="6425" max="6428" width="13.42578125" style="1" customWidth="1"/>
    <col min="6429" max="6429" width="11.7109375" style="1" customWidth="1"/>
    <col min="6430" max="6430" width="13.5703125" style="1" customWidth="1"/>
    <col min="6431" max="6436" width="14.42578125" style="1" customWidth="1"/>
    <col min="6437" max="6437" width="12.28515625" style="1" customWidth="1"/>
    <col min="6438" max="6644" width="11.42578125" style="1"/>
    <col min="6645" max="6650" width="11.42578125" style="1" customWidth="1"/>
    <col min="6651" max="6651" width="11.42578125" style="1"/>
    <col min="6652" max="6653" width="16.85546875" style="1" customWidth="1"/>
    <col min="6654" max="6654" width="13.42578125" style="1" customWidth="1"/>
    <col min="6655" max="6656" width="11.42578125" style="1"/>
    <col min="6657" max="6657" width="14" style="1" customWidth="1"/>
    <col min="6658" max="6658" width="7.140625" style="1" customWidth="1"/>
    <col min="6659" max="6659" width="13.7109375" style="1" customWidth="1"/>
    <col min="6660" max="6660" width="12.42578125" style="1" customWidth="1"/>
    <col min="6661" max="6661" width="7.140625" style="1" customWidth="1"/>
    <col min="6662" max="6662" width="9.5703125" style="1" customWidth="1"/>
    <col min="6663" max="6663" width="16.140625" style="1" customWidth="1"/>
    <col min="6664" max="6664" width="15" style="1" customWidth="1"/>
    <col min="6665" max="6665" width="14.5703125" style="1" customWidth="1"/>
    <col min="6666" max="6667" width="12.42578125" style="1" customWidth="1"/>
    <col min="6668" max="6668" width="12.85546875" style="1" customWidth="1"/>
    <col min="6669" max="6670" width="12.42578125" style="1" customWidth="1"/>
    <col min="6671" max="6671" width="11.7109375" style="1" customWidth="1"/>
    <col min="6672" max="6672" width="16" style="1" customWidth="1"/>
    <col min="6673" max="6673" width="16.85546875" style="1" customWidth="1"/>
    <col min="6674" max="6674" width="12" style="1" customWidth="1"/>
    <col min="6675" max="6675" width="12.140625" style="1" customWidth="1"/>
    <col min="6676" max="6676" width="11.7109375" style="1" customWidth="1"/>
    <col min="6677" max="6678" width="11.42578125" style="1"/>
    <col min="6679" max="6679" width="14.7109375" style="1" customWidth="1"/>
    <col min="6680" max="6680" width="11.7109375" style="1" customWidth="1"/>
    <col min="6681" max="6684" width="13.42578125" style="1" customWidth="1"/>
    <col min="6685" max="6685" width="11.7109375" style="1" customWidth="1"/>
    <col min="6686" max="6686" width="13.5703125" style="1" customWidth="1"/>
    <col min="6687" max="6692" width="14.42578125" style="1" customWidth="1"/>
    <col min="6693" max="6693" width="12.28515625" style="1" customWidth="1"/>
    <col min="6694" max="6900" width="11.42578125" style="1"/>
    <col min="6901" max="6906" width="11.42578125" style="1" customWidth="1"/>
    <col min="6907" max="6907" width="11.42578125" style="1"/>
    <col min="6908" max="6909" width="16.85546875" style="1" customWidth="1"/>
    <col min="6910" max="6910" width="13.42578125" style="1" customWidth="1"/>
    <col min="6911" max="6912" width="11.42578125" style="1"/>
    <col min="6913" max="6913" width="14" style="1" customWidth="1"/>
    <col min="6914" max="6914" width="7.140625" style="1" customWidth="1"/>
    <col min="6915" max="6915" width="13.7109375" style="1" customWidth="1"/>
    <col min="6916" max="6916" width="12.42578125" style="1" customWidth="1"/>
    <col min="6917" max="6917" width="7.140625" style="1" customWidth="1"/>
    <col min="6918" max="6918" width="9.5703125" style="1" customWidth="1"/>
    <col min="6919" max="6919" width="16.140625" style="1" customWidth="1"/>
    <col min="6920" max="6920" width="15" style="1" customWidth="1"/>
    <col min="6921" max="6921" width="14.5703125" style="1" customWidth="1"/>
    <col min="6922" max="6923" width="12.42578125" style="1" customWidth="1"/>
    <col min="6924" max="6924" width="12.85546875" style="1" customWidth="1"/>
    <col min="6925" max="6926" width="12.42578125" style="1" customWidth="1"/>
    <col min="6927" max="6927" width="11.7109375" style="1" customWidth="1"/>
    <col min="6928" max="6928" width="16" style="1" customWidth="1"/>
    <col min="6929" max="6929" width="16.85546875" style="1" customWidth="1"/>
    <col min="6930" max="6930" width="12" style="1" customWidth="1"/>
    <col min="6931" max="6931" width="12.140625" style="1" customWidth="1"/>
    <col min="6932" max="6932" width="11.7109375" style="1" customWidth="1"/>
    <col min="6933" max="6934" width="11.42578125" style="1"/>
    <col min="6935" max="6935" width="14.7109375" style="1" customWidth="1"/>
    <col min="6936" max="6936" width="11.7109375" style="1" customWidth="1"/>
    <col min="6937" max="6940" width="13.42578125" style="1" customWidth="1"/>
    <col min="6941" max="6941" width="11.7109375" style="1" customWidth="1"/>
    <col min="6942" max="6942" width="13.5703125" style="1" customWidth="1"/>
    <col min="6943" max="6948" width="14.42578125" style="1" customWidth="1"/>
    <col min="6949" max="6949" width="12.28515625" style="1" customWidth="1"/>
    <col min="6950" max="7156" width="11.42578125" style="1"/>
    <col min="7157" max="7162" width="11.42578125" style="1" customWidth="1"/>
    <col min="7163" max="7163" width="11.42578125" style="1"/>
    <col min="7164" max="7165" width="16.85546875" style="1" customWidth="1"/>
    <col min="7166" max="7166" width="13.42578125" style="1" customWidth="1"/>
    <col min="7167" max="7168" width="11.42578125" style="1"/>
    <col min="7169" max="7169" width="14" style="1" customWidth="1"/>
    <col min="7170" max="7170" width="7.140625" style="1" customWidth="1"/>
    <col min="7171" max="7171" width="13.7109375" style="1" customWidth="1"/>
    <col min="7172" max="7172" width="12.42578125" style="1" customWidth="1"/>
    <col min="7173" max="7173" width="7.140625" style="1" customWidth="1"/>
    <col min="7174" max="7174" width="9.5703125" style="1" customWidth="1"/>
    <col min="7175" max="7175" width="16.140625" style="1" customWidth="1"/>
    <col min="7176" max="7176" width="15" style="1" customWidth="1"/>
    <col min="7177" max="7177" width="14.5703125" style="1" customWidth="1"/>
    <col min="7178" max="7179" width="12.42578125" style="1" customWidth="1"/>
    <col min="7180" max="7180" width="12.85546875" style="1" customWidth="1"/>
    <col min="7181" max="7182" width="12.42578125" style="1" customWidth="1"/>
    <col min="7183" max="7183" width="11.7109375" style="1" customWidth="1"/>
    <col min="7184" max="7184" width="16" style="1" customWidth="1"/>
    <col min="7185" max="7185" width="16.85546875" style="1" customWidth="1"/>
    <col min="7186" max="7186" width="12" style="1" customWidth="1"/>
    <col min="7187" max="7187" width="12.140625" style="1" customWidth="1"/>
    <col min="7188" max="7188" width="11.7109375" style="1" customWidth="1"/>
    <col min="7189" max="7190" width="11.42578125" style="1"/>
    <col min="7191" max="7191" width="14.7109375" style="1" customWidth="1"/>
    <col min="7192" max="7192" width="11.7109375" style="1" customWidth="1"/>
    <col min="7193" max="7196" width="13.42578125" style="1" customWidth="1"/>
    <col min="7197" max="7197" width="11.7109375" style="1" customWidth="1"/>
    <col min="7198" max="7198" width="13.5703125" style="1" customWidth="1"/>
    <col min="7199" max="7204" width="14.42578125" style="1" customWidth="1"/>
    <col min="7205" max="7205" width="12.28515625" style="1" customWidth="1"/>
    <col min="7206" max="7412" width="11.42578125" style="1"/>
    <col min="7413" max="7418" width="11.42578125" style="1" customWidth="1"/>
    <col min="7419" max="7419" width="11.42578125" style="1"/>
    <col min="7420" max="7421" width="16.85546875" style="1" customWidth="1"/>
    <col min="7422" max="7422" width="13.42578125" style="1" customWidth="1"/>
    <col min="7423" max="7424" width="11.42578125" style="1"/>
    <col min="7425" max="7425" width="14" style="1" customWidth="1"/>
    <col min="7426" max="7426" width="7.140625" style="1" customWidth="1"/>
    <col min="7427" max="7427" width="13.7109375" style="1" customWidth="1"/>
    <col min="7428" max="7428" width="12.42578125" style="1" customWidth="1"/>
    <col min="7429" max="7429" width="7.140625" style="1" customWidth="1"/>
    <col min="7430" max="7430" width="9.5703125" style="1" customWidth="1"/>
    <col min="7431" max="7431" width="16.140625" style="1" customWidth="1"/>
    <col min="7432" max="7432" width="15" style="1" customWidth="1"/>
    <col min="7433" max="7433" width="14.5703125" style="1" customWidth="1"/>
    <col min="7434" max="7435" width="12.42578125" style="1" customWidth="1"/>
    <col min="7436" max="7436" width="12.85546875" style="1" customWidth="1"/>
    <col min="7437" max="7438" width="12.42578125" style="1" customWidth="1"/>
    <col min="7439" max="7439" width="11.7109375" style="1" customWidth="1"/>
    <col min="7440" max="7440" width="16" style="1" customWidth="1"/>
    <col min="7441" max="7441" width="16.85546875" style="1" customWidth="1"/>
    <col min="7442" max="7442" width="12" style="1" customWidth="1"/>
    <col min="7443" max="7443" width="12.140625" style="1" customWidth="1"/>
    <col min="7444" max="7444" width="11.7109375" style="1" customWidth="1"/>
    <col min="7445" max="7446" width="11.42578125" style="1"/>
    <col min="7447" max="7447" width="14.7109375" style="1" customWidth="1"/>
    <col min="7448" max="7448" width="11.7109375" style="1" customWidth="1"/>
    <col min="7449" max="7452" width="13.42578125" style="1" customWidth="1"/>
    <col min="7453" max="7453" width="11.7109375" style="1" customWidth="1"/>
    <col min="7454" max="7454" width="13.5703125" style="1" customWidth="1"/>
    <col min="7455" max="7460" width="14.42578125" style="1" customWidth="1"/>
    <col min="7461" max="7461" width="12.28515625" style="1" customWidth="1"/>
    <col min="7462" max="7668" width="11.42578125" style="1"/>
    <col min="7669" max="7674" width="11.42578125" style="1" customWidth="1"/>
    <col min="7675" max="7675" width="11.42578125" style="1"/>
    <col min="7676" max="7677" width="16.85546875" style="1" customWidth="1"/>
    <col min="7678" max="7678" width="13.42578125" style="1" customWidth="1"/>
    <col min="7679" max="7680" width="11.42578125" style="1"/>
    <col min="7681" max="7681" width="14" style="1" customWidth="1"/>
    <col min="7682" max="7682" width="7.140625" style="1" customWidth="1"/>
    <col min="7683" max="7683" width="13.7109375" style="1" customWidth="1"/>
    <col min="7684" max="7684" width="12.42578125" style="1" customWidth="1"/>
    <col min="7685" max="7685" width="7.140625" style="1" customWidth="1"/>
    <col min="7686" max="7686" width="9.5703125" style="1" customWidth="1"/>
    <col min="7687" max="7687" width="16.140625" style="1" customWidth="1"/>
    <col min="7688" max="7688" width="15" style="1" customWidth="1"/>
    <col min="7689" max="7689" width="14.5703125" style="1" customWidth="1"/>
    <col min="7690" max="7691" width="12.42578125" style="1" customWidth="1"/>
    <col min="7692" max="7692" width="12.85546875" style="1" customWidth="1"/>
    <col min="7693" max="7694" width="12.42578125" style="1" customWidth="1"/>
    <col min="7695" max="7695" width="11.7109375" style="1" customWidth="1"/>
    <col min="7696" max="7696" width="16" style="1" customWidth="1"/>
    <col min="7697" max="7697" width="16.85546875" style="1" customWidth="1"/>
    <col min="7698" max="7698" width="12" style="1" customWidth="1"/>
    <col min="7699" max="7699" width="12.140625" style="1" customWidth="1"/>
    <col min="7700" max="7700" width="11.7109375" style="1" customWidth="1"/>
    <col min="7701" max="7702" width="11.42578125" style="1"/>
    <col min="7703" max="7703" width="14.7109375" style="1" customWidth="1"/>
    <col min="7704" max="7704" width="11.7109375" style="1" customWidth="1"/>
    <col min="7705" max="7708" width="13.42578125" style="1" customWidth="1"/>
    <col min="7709" max="7709" width="11.7109375" style="1" customWidth="1"/>
    <col min="7710" max="7710" width="13.5703125" style="1" customWidth="1"/>
    <col min="7711" max="7716" width="14.42578125" style="1" customWidth="1"/>
    <col min="7717" max="7717" width="12.28515625" style="1" customWidth="1"/>
    <col min="7718" max="7924" width="11.42578125" style="1"/>
    <col min="7925" max="7930" width="11.42578125" style="1" customWidth="1"/>
    <col min="7931" max="7931" width="11.42578125" style="1"/>
    <col min="7932" max="7933" width="16.85546875" style="1" customWidth="1"/>
    <col min="7934" max="7934" width="13.42578125" style="1" customWidth="1"/>
    <col min="7935" max="7936" width="11.42578125" style="1"/>
    <col min="7937" max="7937" width="14" style="1" customWidth="1"/>
    <col min="7938" max="7938" width="7.140625" style="1" customWidth="1"/>
    <col min="7939" max="7939" width="13.7109375" style="1" customWidth="1"/>
    <col min="7940" max="7940" width="12.42578125" style="1" customWidth="1"/>
    <col min="7941" max="7941" width="7.140625" style="1" customWidth="1"/>
    <col min="7942" max="7942" width="9.5703125" style="1" customWidth="1"/>
    <col min="7943" max="7943" width="16.140625" style="1" customWidth="1"/>
    <col min="7944" max="7944" width="15" style="1" customWidth="1"/>
    <col min="7945" max="7945" width="14.5703125" style="1" customWidth="1"/>
    <col min="7946" max="7947" width="12.42578125" style="1" customWidth="1"/>
    <col min="7948" max="7948" width="12.85546875" style="1" customWidth="1"/>
    <col min="7949" max="7950" width="12.42578125" style="1" customWidth="1"/>
    <col min="7951" max="7951" width="11.7109375" style="1" customWidth="1"/>
    <col min="7952" max="7952" width="16" style="1" customWidth="1"/>
    <col min="7953" max="7953" width="16.85546875" style="1" customWidth="1"/>
    <col min="7954" max="7954" width="12" style="1" customWidth="1"/>
    <col min="7955" max="7955" width="12.140625" style="1" customWidth="1"/>
    <col min="7956" max="7956" width="11.7109375" style="1" customWidth="1"/>
    <col min="7957" max="7958" width="11.42578125" style="1"/>
    <col min="7959" max="7959" width="14.7109375" style="1" customWidth="1"/>
    <col min="7960" max="7960" width="11.7109375" style="1" customWidth="1"/>
    <col min="7961" max="7964" width="13.42578125" style="1" customWidth="1"/>
    <col min="7965" max="7965" width="11.7109375" style="1" customWidth="1"/>
    <col min="7966" max="7966" width="13.5703125" style="1" customWidth="1"/>
    <col min="7967" max="7972" width="14.42578125" style="1" customWidth="1"/>
    <col min="7973" max="7973" width="12.28515625" style="1" customWidth="1"/>
    <col min="7974" max="8180" width="11.42578125" style="1"/>
    <col min="8181" max="8186" width="11.42578125" style="1" customWidth="1"/>
    <col min="8187" max="8187" width="11.42578125" style="1"/>
    <col min="8188" max="8189" width="16.85546875" style="1" customWidth="1"/>
    <col min="8190" max="8190" width="13.42578125" style="1" customWidth="1"/>
    <col min="8191" max="8192" width="11.42578125" style="1"/>
    <col min="8193" max="8193" width="14" style="1" customWidth="1"/>
    <col min="8194" max="8194" width="7.140625" style="1" customWidth="1"/>
    <col min="8195" max="8195" width="13.7109375" style="1" customWidth="1"/>
    <col min="8196" max="8196" width="12.42578125" style="1" customWidth="1"/>
    <col min="8197" max="8197" width="7.140625" style="1" customWidth="1"/>
    <col min="8198" max="8198" width="9.5703125" style="1" customWidth="1"/>
    <col min="8199" max="8199" width="16.140625" style="1" customWidth="1"/>
    <col min="8200" max="8200" width="15" style="1" customWidth="1"/>
    <col min="8201" max="8201" width="14.5703125" style="1" customWidth="1"/>
    <col min="8202" max="8203" width="12.42578125" style="1" customWidth="1"/>
    <col min="8204" max="8204" width="12.85546875" style="1" customWidth="1"/>
    <col min="8205" max="8206" width="12.42578125" style="1" customWidth="1"/>
    <col min="8207" max="8207" width="11.7109375" style="1" customWidth="1"/>
    <col min="8208" max="8208" width="16" style="1" customWidth="1"/>
    <col min="8209" max="8209" width="16.85546875" style="1" customWidth="1"/>
    <col min="8210" max="8210" width="12" style="1" customWidth="1"/>
    <col min="8211" max="8211" width="12.140625" style="1" customWidth="1"/>
    <col min="8212" max="8212" width="11.7109375" style="1" customWidth="1"/>
    <col min="8213" max="8214" width="11.42578125" style="1"/>
    <col min="8215" max="8215" width="14.7109375" style="1" customWidth="1"/>
    <col min="8216" max="8216" width="11.7109375" style="1" customWidth="1"/>
    <col min="8217" max="8220" width="13.42578125" style="1" customWidth="1"/>
    <col min="8221" max="8221" width="11.7109375" style="1" customWidth="1"/>
    <col min="8222" max="8222" width="13.5703125" style="1" customWidth="1"/>
    <col min="8223" max="8228" width="14.42578125" style="1" customWidth="1"/>
    <col min="8229" max="8229" width="12.28515625" style="1" customWidth="1"/>
    <col min="8230" max="8436" width="11.42578125" style="1"/>
    <col min="8437" max="8442" width="11.42578125" style="1" customWidth="1"/>
    <col min="8443" max="8443" width="11.42578125" style="1"/>
    <col min="8444" max="8445" width="16.85546875" style="1" customWidth="1"/>
    <col min="8446" max="8446" width="13.42578125" style="1" customWidth="1"/>
    <col min="8447" max="8448" width="11.42578125" style="1"/>
    <col min="8449" max="8449" width="14" style="1" customWidth="1"/>
    <col min="8450" max="8450" width="7.140625" style="1" customWidth="1"/>
    <col min="8451" max="8451" width="13.7109375" style="1" customWidth="1"/>
    <col min="8452" max="8452" width="12.42578125" style="1" customWidth="1"/>
    <col min="8453" max="8453" width="7.140625" style="1" customWidth="1"/>
    <col min="8454" max="8454" width="9.5703125" style="1" customWidth="1"/>
    <col min="8455" max="8455" width="16.140625" style="1" customWidth="1"/>
    <col min="8456" max="8456" width="15" style="1" customWidth="1"/>
    <col min="8457" max="8457" width="14.5703125" style="1" customWidth="1"/>
    <col min="8458" max="8459" width="12.42578125" style="1" customWidth="1"/>
    <col min="8460" max="8460" width="12.85546875" style="1" customWidth="1"/>
    <col min="8461" max="8462" width="12.42578125" style="1" customWidth="1"/>
    <col min="8463" max="8463" width="11.7109375" style="1" customWidth="1"/>
    <col min="8464" max="8464" width="16" style="1" customWidth="1"/>
    <col min="8465" max="8465" width="16.85546875" style="1" customWidth="1"/>
    <col min="8466" max="8466" width="12" style="1" customWidth="1"/>
    <col min="8467" max="8467" width="12.140625" style="1" customWidth="1"/>
    <col min="8468" max="8468" width="11.7109375" style="1" customWidth="1"/>
    <col min="8469" max="8470" width="11.42578125" style="1"/>
    <col min="8471" max="8471" width="14.7109375" style="1" customWidth="1"/>
    <col min="8472" max="8472" width="11.7109375" style="1" customWidth="1"/>
    <col min="8473" max="8476" width="13.42578125" style="1" customWidth="1"/>
    <col min="8477" max="8477" width="11.7109375" style="1" customWidth="1"/>
    <col min="8478" max="8478" width="13.5703125" style="1" customWidth="1"/>
    <col min="8479" max="8484" width="14.42578125" style="1" customWidth="1"/>
    <col min="8485" max="8485" width="12.28515625" style="1" customWidth="1"/>
    <col min="8486" max="8692" width="11.42578125" style="1"/>
    <col min="8693" max="8698" width="11.42578125" style="1" customWidth="1"/>
    <col min="8699" max="8699" width="11.42578125" style="1"/>
    <col min="8700" max="8701" width="16.85546875" style="1" customWidth="1"/>
    <col min="8702" max="8702" width="13.42578125" style="1" customWidth="1"/>
    <col min="8703" max="8704" width="11.42578125" style="1"/>
    <col min="8705" max="8705" width="14" style="1" customWidth="1"/>
    <col min="8706" max="8706" width="7.140625" style="1" customWidth="1"/>
    <col min="8707" max="8707" width="13.7109375" style="1" customWidth="1"/>
    <col min="8708" max="8708" width="12.42578125" style="1" customWidth="1"/>
    <col min="8709" max="8709" width="7.140625" style="1" customWidth="1"/>
    <col min="8710" max="8710" width="9.5703125" style="1" customWidth="1"/>
    <col min="8711" max="8711" width="16.140625" style="1" customWidth="1"/>
    <col min="8712" max="8712" width="15" style="1" customWidth="1"/>
    <col min="8713" max="8713" width="14.5703125" style="1" customWidth="1"/>
    <col min="8714" max="8715" width="12.42578125" style="1" customWidth="1"/>
    <col min="8716" max="8716" width="12.85546875" style="1" customWidth="1"/>
    <col min="8717" max="8718" width="12.42578125" style="1" customWidth="1"/>
    <col min="8719" max="8719" width="11.7109375" style="1" customWidth="1"/>
    <col min="8720" max="8720" width="16" style="1" customWidth="1"/>
    <col min="8721" max="8721" width="16.85546875" style="1" customWidth="1"/>
    <col min="8722" max="8722" width="12" style="1" customWidth="1"/>
    <col min="8723" max="8723" width="12.140625" style="1" customWidth="1"/>
    <col min="8724" max="8724" width="11.7109375" style="1" customWidth="1"/>
    <col min="8725" max="8726" width="11.42578125" style="1"/>
    <col min="8727" max="8727" width="14.7109375" style="1" customWidth="1"/>
    <col min="8728" max="8728" width="11.7109375" style="1" customWidth="1"/>
    <col min="8729" max="8732" width="13.42578125" style="1" customWidth="1"/>
    <col min="8733" max="8733" width="11.7109375" style="1" customWidth="1"/>
    <col min="8734" max="8734" width="13.5703125" style="1" customWidth="1"/>
    <col min="8735" max="8740" width="14.42578125" style="1" customWidth="1"/>
    <col min="8741" max="8741" width="12.28515625" style="1" customWidth="1"/>
    <col min="8742" max="8948" width="11.42578125" style="1"/>
    <col min="8949" max="8954" width="11.42578125" style="1" customWidth="1"/>
    <col min="8955" max="8955" width="11.42578125" style="1"/>
    <col min="8956" max="8957" width="16.85546875" style="1" customWidth="1"/>
    <col min="8958" max="8958" width="13.42578125" style="1" customWidth="1"/>
    <col min="8959" max="8960" width="11.42578125" style="1"/>
    <col min="8961" max="8961" width="14" style="1" customWidth="1"/>
    <col min="8962" max="8962" width="7.140625" style="1" customWidth="1"/>
    <col min="8963" max="8963" width="13.7109375" style="1" customWidth="1"/>
    <col min="8964" max="8964" width="12.42578125" style="1" customWidth="1"/>
    <col min="8965" max="8965" width="7.140625" style="1" customWidth="1"/>
    <col min="8966" max="8966" width="9.5703125" style="1" customWidth="1"/>
    <col min="8967" max="8967" width="16.140625" style="1" customWidth="1"/>
    <col min="8968" max="8968" width="15" style="1" customWidth="1"/>
    <col min="8969" max="8969" width="14.5703125" style="1" customWidth="1"/>
    <col min="8970" max="8971" width="12.42578125" style="1" customWidth="1"/>
    <col min="8972" max="8972" width="12.85546875" style="1" customWidth="1"/>
    <col min="8973" max="8974" width="12.42578125" style="1" customWidth="1"/>
    <col min="8975" max="8975" width="11.7109375" style="1" customWidth="1"/>
    <col min="8976" max="8976" width="16" style="1" customWidth="1"/>
    <col min="8977" max="8977" width="16.85546875" style="1" customWidth="1"/>
    <col min="8978" max="8978" width="12" style="1" customWidth="1"/>
    <col min="8979" max="8979" width="12.140625" style="1" customWidth="1"/>
    <col min="8980" max="8980" width="11.7109375" style="1" customWidth="1"/>
    <col min="8981" max="8982" width="11.42578125" style="1"/>
    <col min="8983" max="8983" width="14.7109375" style="1" customWidth="1"/>
    <col min="8984" max="8984" width="11.7109375" style="1" customWidth="1"/>
    <col min="8985" max="8988" width="13.42578125" style="1" customWidth="1"/>
    <col min="8989" max="8989" width="11.7109375" style="1" customWidth="1"/>
    <col min="8990" max="8990" width="13.5703125" style="1" customWidth="1"/>
    <col min="8991" max="8996" width="14.42578125" style="1" customWidth="1"/>
    <col min="8997" max="8997" width="12.28515625" style="1" customWidth="1"/>
    <col min="8998" max="9204" width="11.42578125" style="1"/>
    <col min="9205" max="9210" width="11.42578125" style="1" customWidth="1"/>
    <col min="9211" max="9211" width="11.42578125" style="1"/>
    <col min="9212" max="9213" width="16.85546875" style="1" customWidth="1"/>
    <col min="9214" max="9214" width="13.42578125" style="1" customWidth="1"/>
    <col min="9215" max="9216" width="11.42578125" style="1"/>
    <col min="9217" max="9217" width="14" style="1" customWidth="1"/>
    <col min="9218" max="9218" width="7.140625" style="1" customWidth="1"/>
    <col min="9219" max="9219" width="13.7109375" style="1" customWidth="1"/>
    <col min="9220" max="9220" width="12.42578125" style="1" customWidth="1"/>
    <col min="9221" max="9221" width="7.140625" style="1" customWidth="1"/>
    <col min="9222" max="9222" width="9.5703125" style="1" customWidth="1"/>
    <col min="9223" max="9223" width="16.140625" style="1" customWidth="1"/>
    <col min="9224" max="9224" width="15" style="1" customWidth="1"/>
    <col min="9225" max="9225" width="14.5703125" style="1" customWidth="1"/>
    <col min="9226" max="9227" width="12.42578125" style="1" customWidth="1"/>
    <col min="9228" max="9228" width="12.85546875" style="1" customWidth="1"/>
    <col min="9229" max="9230" width="12.42578125" style="1" customWidth="1"/>
    <col min="9231" max="9231" width="11.7109375" style="1" customWidth="1"/>
    <col min="9232" max="9232" width="16" style="1" customWidth="1"/>
    <col min="9233" max="9233" width="16.85546875" style="1" customWidth="1"/>
    <col min="9234" max="9234" width="12" style="1" customWidth="1"/>
    <col min="9235" max="9235" width="12.140625" style="1" customWidth="1"/>
    <col min="9236" max="9236" width="11.7109375" style="1" customWidth="1"/>
    <col min="9237" max="9238" width="11.42578125" style="1"/>
    <col min="9239" max="9239" width="14.7109375" style="1" customWidth="1"/>
    <col min="9240" max="9240" width="11.7109375" style="1" customWidth="1"/>
    <col min="9241" max="9244" width="13.42578125" style="1" customWidth="1"/>
    <col min="9245" max="9245" width="11.7109375" style="1" customWidth="1"/>
    <col min="9246" max="9246" width="13.5703125" style="1" customWidth="1"/>
    <col min="9247" max="9252" width="14.42578125" style="1" customWidth="1"/>
    <col min="9253" max="9253" width="12.28515625" style="1" customWidth="1"/>
    <col min="9254" max="9460" width="11.42578125" style="1"/>
    <col min="9461" max="9466" width="11.42578125" style="1" customWidth="1"/>
    <col min="9467" max="9467" width="11.42578125" style="1"/>
    <col min="9468" max="9469" width="16.85546875" style="1" customWidth="1"/>
    <col min="9470" max="9470" width="13.42578125" style="1" customWidth="1"/>
    <col min="9471" max="9472" width="11.42578125" style="1"/>
    <col min="9473" max="9473" width="14" style="1" customWidth="1"/>
    <col min="9474" max="9474" width="7.140625" style="1" customWidth="1"/>
    <col min="9475" max="9475" width="13.7109375" style="1" customWidth="1"/>
    <col min="9476" max="9476" width="12.42578125" style="1" customWidth="1"/>
    <col min="9477" max="9477" width="7.140625" style="1" customWidth="1"/>
    <col min="9478" max="9478" width="9.5703125" style="1" customWidth="1"/>
    <col min="9479" max="9479" width="16.140625" style="1" customWidth="1"/>
    <col min="9480" max="9480" width="15" style="1" customWidth="1"/>
    <col min="9481" max="9481" width="14.5703125" style="1" customWidth="1"/>
    <col min="9482" max="9483" width="12.42578125" style="1" customWidth="1"/>
    <col min="9484" max="9484" width="12.85546875" style="1" customWidth="1"/>
    <col min="9485" max="9486" width="12.42578125" style="1" customWidth="1"/>
    <col min="9487" max="9487" width="11.7109375" style="1" customWidth="1"/>
    <col min="9488" max="9488" width="16" style="1" customWidth="1"/>
    <col min="9489" max="9489" width="16.85546875" style="1" customWidth="1"/>
    <col min="9490" max="9490" width="12" style="1" customWidth="1"/>
    <col min="9491" max="9491" width="12.140625" style="1" customWidth="1"/>
    <col min="9492" max="9492" width="11.7109375" style="1" customWidth="1"/>
    <col min="9493" max="9494" width="11.42578125" style="1"/>
    <col min="9495" max="9495" width="14.7109375" style="1" customWidth="1"/>
    <col min="9496" max="9496" width="11.7109375" style="1" customWidth="1"/>
    <col min="9497" max="9500" width="13.42578125" style="1" customWidth="1"/>
    <col min="9501" max="9501" width="11.7109375" style="1" customWidth="1"/>
    <col min="9502" max="9502" width="13.5703125" style="1" customWidth="1"/>
    <col min="9503" max="9508" width="14.42578125" style="1" customWidth="1"/>
    <col min="9509" max="9509" width="12.28515625" style="1" customWidth="1"/>
    <col min="9510" max="9716" width="11.42578125" style="1"/>
    <col min="9717" max="9722" width="11.42578125" style="1" customWidth="1"/>
    <col min="9723" max="9723" width="11.42578125" style="1"/>
    <col min="9724" max="9725" width="16.85546875" style="1" customWidth="1"/>
    <col min="9726" max="9726" width="13.42578125" style="1" customWidth="1"/>
    <col min="9727" max="9728" width="11.42578125" style="1"/>
    <col min="9729" max="9729" width="14" style="1" customWidth="1"/>
    <col min="9730" max="9730" width="7.140625" style="1" customWidth="1"/>
    <col min="9731" max="9731" width="13.7109375" style="1" customWidth="1"/>
    <col min="9732" max="9732" width="12.42578125" style="1" customWidth="1"/>
    <col min="9733" max="9733" width="7.140625" style="1" customWidth="1"/>
    <col min="9734" max="9734" width="9.5703125" style="1" customWidth="1"/>
    <col min="9735" max="9735" width="16.140625" style="1" customWidth="1"/>
    <col min="9736" max="9736" width="15" style="1" customWidth="1"/>
    <col min="9737" max="9737" width="14.5703125" style="1" customWidth="1"/>
    <col min="9738" max="9739" width="12.42578125" style="1" customWidth="1"/>
    <col min="9740" max="9740" width="12.85546875" style="1" customWidth="1"/>
    <col min="9741" max="9742" width="12.42578125" style="1" customWidth="1"/>
    <col min="9743" max="9743" width="11.7109375" style="1" customWidth="1"/>
    <col min="9744" max="9744" width="16" style="1" customWidth="1"/>
    <col min="9745" max="9745" width="16.85546875" style="1" customWidth="1"/>
    <col min="9746" max="9746" width="12" style="1" customWidth="1"/>
    <col min="9747" max="9747" width="12.140625" style="1" customWidth="1"/>
    <col min="9748" max="9748" width="11.7109375" style="1" customWidth="1"/>
    <col min="9749" max="9750" width="11.42578125" style="1"/>
    <col min="9751" max="9751" width="14.7109375" style="1" customWidth="1"/>
    <col min="9752" max="9752" width="11.7109375" style="1" customWidth="1"/>
    <col min="9753" max="9756" width="13.42578125" style="1" customWidth="1"/>
    <col min="9757" max="9757" width="11.7109375" style="1" customWidth="1"/>
    <col min="9758" max="9758" width="13.5703125" style="1" customWidth="1"/>
    <col min="9759" max="9764" width="14.42578125" style="1" customWidth="1"/>
    <col min="9765" max="9765" width="12.28515625" style="1" customWidth="1"/>
    <col min="9766" max="9972" width="11.42578125" style="1"/>
    <col min="9973" max="9978" width="11.42578125" style="1" customWidth="1"/>
    <col min="9979" max="9979" width="11.42578125" style="1"/>
    <col min="9980" max="9981" width="16.85546875" style="1" customWidth="1"/>
    <col min="9982" max="9982" width="13.42578125" style="1" customWidth="1"/>
    <col min="9983" max="9984" width="11.42578125" style="1"/>
    <col min="9985" max="9985" width="14" style="1" customWidth="1"/>
    <col min="9986" max="9986" width="7.140625" style="1" customWidth="1"/>
    <col min="9987" max="9987" width="13.7109375" style="1" customWidth="1"/>
    <col min="9988" max="9988" width="12.42578125" style="1" customWidth="1"/>
    <col min="9989" max="9989" width="7.140625" style="1" customWidth="1"/>
    <col min="9990" max="9990" width="9.5703125" style="1" customWidth="1"/>
    <col min="9991" max="9991" width="16.140625" style="1" customWidth="1"/>
    <col min="9992" max="9992" width="15" style="1" customWidth="1"/>
    <col min="9993" max="9993" width="14.5703125" style="1" customWidth="1"/>
    <col min="9994" max="9995" width="12.42578125" style="1" customWidth="1"/>
    <col min="9996" max="9996" width="12.85546875" style="1" customWidth="1"/>
    <col min="9997" max="9998" width="12.42578125" style="1" customWidth="1"/>
    <col min="9999" max="9999" width="11.7109375" style="1" customWidth="1"/>
    <col min="10000" max="10000" width="16" style="1" customWidth="1"/>
    <col min="10001" max="10001" width="16.85546875" style="1" customWidth="1"/>
    <col min="10002" max="10002" width="12" style="1" customWidth="1"/>
    <col min="10003" max="10003" width="12.140625" style="1" customWidth="1"/>
    <col min="10004" max="10004" width="11.7109375" style="1" customWidth="1"/>
    <col min="10005" max="10006" width="11.42578125" style="1"/>
    <col min="10007" max="10007" width="14.7109375" style="1" customWidth="1"/>
    <col min="10008" max="10008" width="11.7109375" style="1" customWidth="1"/>
    <col min="10009" max="10012" width="13.42578125" style="1" customWidth="1"/>
    <col min="10013" max="10013" width="11.7109375" style="1" customWidth="1"/>
    <col min="10014" max="10014" width="13.5703125" style="1" customWidth="1"/>
    <col min="10015" max="10020" width="14.42578125" style="1" customWidth="1"/>
    <col min="10021" max="10021" width="12.28515625" style="1" customWidth="1"/>
    <col min="10022" max="10228" width="11.42578125" style="1"/>
    <col min="10229" max="10234" width="11.42578125" style="1" customWidth="1"/>
    <col min="10235" max="10235" width="11.42578125" style="1"/>
    <col min="10236" max="10237" width="16.85546875" style="1" customWidth="1"/>
    <col min="10238" max="10238" width="13.42578125" style="1" customWidth="1"/>
    <col min="10239" max="10240" width="11.42578125" style="1"/>
    <col min="10241" max="10241" width="14" style="1" customWidth="1"/>
    <col min="10242" max="10242" width="7.140625" style="1" customWidth="1"/>
    <col min="10243" max="10243" width="13.7109375" style="1" customWidth="1"/>
    <col min="10244" max="10244" width="12.42578125" style="1" customWidth="1"/>
    <col min="10245" max="10245" width="7.140625" style="1" customWidth="1"/>
    <col min="10246" max="10246" width="9.5703125" style="1" customWidth="1"/>
    <col min="10247" max="10247" width="16.140625" style="1" customWidth="1"/>
    <col min="10248" max="10248" width="15" style="1" customWidth="1"/>
    <col min="10249" max="10249" width="14.5703125" style="1" customWidth="1"/>
    <col min="10250" max="10251" width="12.42578125" style="1" customWidth="1"/>
    <col min="10252" max="10252" width="12.85546875" style="1" customWidth="1"/>
    <col min="10253" max="10254" width="12.42578125" style="1" customWidth="1"/>
    <col min="10255" max="10255" width="11.7109375" style="1" customWidth="1"/>
    <col min="10256" max="10256" width="16" style="1" customWidth="1"/>
    <col min="10257" max="10257" width="16.85546875" style="1" customWidth="1"/>
    <col min="10258" max="10258" width="12" style="1" customWidth="1"/>
    <col min="10259" max="10259" width="12.140625" style="1" customWidth="1"/>
    <col min="10260" max="10260" width="11.7109375" style="1" customWidth="1"/>
    <col min="10261" max="10262" width="11.42578125" style="1"/>
    <col min="10263" max="10263" width="14.7109375" style="1" customWidth="1"/>
    <col min="10264" max="10264" width="11.7109375" style="1" customWidth="1"/>
    <col min="10265" max="10268" width="13.42578125" style="1" customWidth="1"/>
    <col min="10269" max="10269" width="11.7109375" style="1" customWidth="1"/>
    <col min="10270" max="10270" width="13.5703125" style="1" customWidth="1"/>
    <col min="10271" max="10276" width="14.42578125" style="1" customWidth="1"/>
    <col min="10277" max="10277" width="12.28515625" style="1" customWidth="1"/>
    <col min="10278" max="10484" width="11.42578125" style="1"/>
    <col min="10485" max="10490" width="11.42578125" style="1" customWidth="1"/>
    <col min="10491" max="10491" width="11.42578125" style="1"/>
    <col min="10492" max="10493" width="16.85546875" style="1" customWidth="1"/>
    <col min="10494" max="10494" width="13.42578125" style="1" customWidth="1"/>
    <col min="10495" max="10496" width="11.42578125" style="1"/>
    <col min="10497" max="10497" width="14" style="1" customWidth="1"/>
    <col min="10498" max="10498" width="7.140625" style="1" customWidth="1"/>
    <col min="10499" max="10499" width="13.7109375" style="1" customWidth="1"/>
    <col min="10500" max="10500" width="12.42578125" style="1" customWidth="1"/>
    <col min="10501" max="10501" width="7.140625" style="1" customWidth="1"/>
    <col min="10502" max="10502" width="9.5703125" style="1" customWidth="1"/>
    <col min="10503" max="10503" width="16.140625" style="1" customWidth="1"/>
    <col min="10504" max="10504" width="15" style="1" customWidth="1"/>
    <col min="10505" max="10505" width="14.5703125" style="1" customWidth="1"/>
    <col min="10506" max="10507" width="12.42578125" style="1" customWidth="1"/>
    <col min="10508" max="10508" width="12.85546875" style="1" customWidth="1"/>
    <col min="10509" max="10510" width="12.42578125" style="1" customWidth="1"/>
    <col min="10511" max="10511" width="11.7109375" style="1" customWidth="1"/>
    <col min="10512" max="10512" width="16" style="1" customWidth="1"/>
    <col min="10513" max="10513" width="16.85546875" style="1" customWidth="1"/>
    <col min="10514" max="10514" width="12" style="1" customWidth="1"/>
    <col min="10515" max="10515" width="12.140625" style="1" customWidth="1"/>
    <col min="10516" max="10516" width="11.7109375" style="1" customWidth="1"/>
    <col min="10517" max="10518" width="11.42578125" style="1"/>
    <col min="10519" max="10519" width="14.7109375" style="1" customWidth="1"/>
    <col min="10520" max="10520" width="11.7109375" style="1" customWidth="1"/>
    <col min="10521" max="10524" width="13.42578125" style="1" customWidth="1"/>
    <col min="10525" max="10525" width="11.7109375" style="1" customWidth="1"/>
    <col min="10526" max="10526" width="13.5703125" style="1" customWidth="1"/>
    <col min="10527" max="10532" width="14.42578125" style="1" customWidth="1"/>
    <col min="10533" max="10533" width="12.28515625" style="1" customWidth="1"/>
    <col min="10534" max="10740" width="11.42578125" style="1"/>
    <col min="10741" max="10746" width="11.42578125" style="1" customWidth="1"/>
    <col min="10747" max="10747" width="11.42578125" style="1"/>
    <col min="10748" max="10749" width="16.85546875" style="1" customWidth="1"/>
    <col min="10750" max="10750" width="13.42578125" style="1" customWidth="1"/>
    <col min="10751" max="10752" width="11.42578125" style="1"/>
    <col min="10753" max="10753" width="14" style="1" customWidth="1"/>
    <col min="10754" max="10754" width="7.140625" style="1" customWidth="1"/>
    <col min="10755" max="10755" width="13.7109375" style="1" customWidth="1"/>
    <col min="10756" max="10756" width="12.42578125" style="1" customWidth="1"/>
    <col min="10757" max="10757" width="7.140625" style="1" customWidth="1"/>
    <col min="10758" max="10758" width="9.5703125" style="1" customWidth="1"/>
    <col min="10759" max="10759" width="16.140625" style="1" customWidth="1"/>
    <col min="10760" max="10760" width="15" style="1" customWidth="1"/>
    <col min="10761" max="10761" width="14.5703125" style="1" customWidth="1"/>
    <col min="10762" max="10763" width="12.42578125" style="1" customWidth="1"/>
    <col min="10764" max="10764" width="12.85546875" style="1" customWidth="1"/>
    <col min="10765" max="10766" width="12.42578125" style="1" customWidth="1"/>
    <col min="10767" max="10767" width="11.7109375" style="1" customWidth="1"/>
    <col min="10768" max="10768" width="16" style="1" customWidth="1"/>
    <col min="10769" max="10769" width="16.85546875" style="1" customWidth="1"/>
    <col min="10770" max="10770" width="12" style="1" customWidth="1"/>
    <col min="10771" max="10771" width="12.140625" style="1" customWidth="1"/>
    <col min="10772" max="10772" width="11.7109375" style="1" customWidth="1"/>
    <col min="10773" max="10774" width="11.42578125" style="1"/>
    <col min="10775" max="10775" width="14.7109375" style="1" customWidth="1"/>
    <col min="10776" max="10776" width="11.7109375" style="1" customWidth="1"/>
    <col min="10777" max="10780" width="13.42578125" style="1" customWidth="1"/>
    <col min="10781" max="10781" width="11.7109375" style="1" customWidth="1"/>
    <col min="10782" max="10782" width="13.5703125" style="1" customWidth="1"/>
    <col min="10783" max="10788" width="14.42578125" style="1" customWidth="1"/>
    <col min="10789" max="10789" width="12.28515625" style="1" customWidth="1"/>
    <col min="10790" max="10996" width="11.42578125" style="1"/>
    <col min="10997" max="11002" width="11.42578125" style="1" customWidth="1"/>
    <col min="11003" max="11003" width="11.42578125" style="1"/>
    <col min="11004" max="11005" width="16.85546875" style="1" customWidth="1"/>
    <col min="11006" max="11006" width="13.42578125" style="1" customWidth="1"/>
    <col min="11007" max="11008" width="11.42578125" style="1"/>
    <col min="11009" max="11009" width="14" style="1" customWidth="1"/>
    <col min="11010" max="11010" width="7.140625" style="1" customWidth="1"/>
    <col min="11011" max="11011" width="13.7109375" style="1" customWidth="1"/>
    <col min="11012" max="11012" width="12.42578125" style="1" customWidth="1"/>
    <col min="11013" max="11013" width="7.140625" style="1" customWidth="1"/>
    <col min="11014" max="11014" width="9.5703125" style="1" customWidth="1"/>
    <col min="11015" max="11015" width="16.140625" style="1" customWidth="1"/>
    <col min="11016" max="11016" width="15" style="1" customWidth="1"/>
    <col min="11017" max="11017" width="14.5703125" style="1" customWidth="1"/>
    <col min="11018" max="11019" width="12.42578125" style="1" customWidth="1"/>
    <col min="11020" max="11020" width="12.85546875" style="1" customWidth="1"/>
    <col min="11021" max="11022" width="12.42578125" style="1" customWidth="1"/>
    <col min="11023" max="11023" width="11.7109375" style="1" customWidth="1"/>
    <col min="11024" max="11024" width="16" style="1" customWidth="1"/>
    <col min="11025" max="11025" width="16.85546875" style="1" customWidth="1"/>
    <col min="11026" max="11026" width="12" style="1" customWidth="1"/>
    <col min="11027" max="11027" width="12.140625" style="1" customWidth="1"/>
    <col min="11028" max="11028" width="11.7109375" style="1" customWidth="1"/>
    <col min="11029" max="11030" width="11.42578125" style="1"/>
    <col min="11031" max="11031" width="14.7109375" style="1" customWidth="1"/>
    <col min="11032" max="11032" width="11.7109375" style="1" customWidth="1"/>
    <col min="11033" max="11036" width="13.42578125" style="1" customWidth="1"/>
    <col min="11037" max="11037" width="11.7109375" style="1" customWidth="1"/>
    <col min="11038" max="11038" width="13.5703125" style="1" customWidth="1"/>
    <col min="11039" max="11044" width="14.42578125" style="1" customWidth="1"/>
    <col min="11045" max="11045" width="12.28515625" style="1" customWidth="1"/>
    <col min="11046" max="11252" width="11.42578125" style="1"/>
    <col min="11253" max="11258" width="11.42578125" style="1" customWidth="1"/>
    <col min="11259" max="11259" width="11.42578125" style="1"/>
    <col min="11260" max="11261" width="16.85546875" style="1" customWidth="1"/>
    <col min="11262" max="11262" width="13.42578125" style="1" customWidth="1"/>
    <col min="11263" max="11264" width="11.42578125" style="1"/>
    <col min="11265" max="11265" width="14" style="1" customWidth="1"/>
    <col min="11266" max="11266" width="7.140625" style="1" customWidth="1"/>
    <col min="11267" max="11267" width="13.7109375" style="1" customWidth="1"/>
    <col min="11268" max="11268" width="12.42578125" style="1" customWidth="1"/>
    <col min="11269" max="11269" width="7.140625" style="1" customWidth="1"/>
    <col min="11270" max="11270" width="9.5703125" style="1" customWidth="1"/>
    <col min="11271" max="11271" width="16.140625" style="1" customWidth="1"/>
    <col min="11272" max="11272" width="15" style="1" customWidth="1"/>
    <col min="11273" max="11273" width="14.5703125" style="1" customWidth="1"/>
    <col min="11274" max="11275" width="12.42578125" style="1" customWidth="1"/>
    <col min="11276" max="11276" width="12.85546875" style="1" customWidth="1"/>
    <col min="11277" max="11278" width="12.42578125" style="1" customWidth="1"/>
    <col min="11279" max="11279" width="11.7109375" style="1" customWidth="1"/>
    <col min="11280" max="11280" width="16" style="1" customWidth="1"/>
    <col min="11281" max="11281" width="16.85546875" style="1" customWidth="1"/>
    <col min="11282" max="11282" width="12" style="1" customWidth="1"/>
    <col min="11283" max="11283" width="12.140625" style="1" customWidth="1"/>
    <col min="11284" max="11284" width="11.7109375" style="1" customWidth="1"/>
    <col min="11285" max="11286" width="11.42578125" style="1"/>
    <col min="11287" max="11287" width="14.7109375" style="1" customWidth="1"/>
    <col min="11288" max="11288" width="11.7109375" style="1" customWidth="1"/>
    <col min="11289" max="11292" width="13.42578125" style="1" customWidth="1"/>
    <col min="11293" max="11293" width="11.7109375" style="1" customWidth="1"/>
    <col min="11294" max="11294" width="13.5703125" style="1" customWidth="1"/>
    <col min="11295" max="11300" width="14.42578125" style="1" customWidth="1"/>
    <col min="11301" max="11301" width="12.28515625" style="1" customWidth="1"/>
    <col min="11302" max="11508" width="11.42578125" style="1"/>
    <col min="11509" max="11514" width="11.42578125" style="1" customWidth="1"/>
    <col min="11515" max="11515" width="11.42578125" style="1"/>
    <col min="11516" max="11517" width="16.85546875" style="1" customWidth="1"/>
    <col min="11518" max="11518" width="13.42578125" style="1" customWidth="1"/>
    <col min="11519" max="11520" width="11.42578125" style="1"/>
    <col min="11521" max="11521" width="14" style="1" customWidth="1"/>
    <col min="11522" max="11522" width="7.140625" style="1" customWidth="1"/>
    <col min="11523" max="11523" width="13.7109375" style="1" customWidth="1"/>
    <col min="11524" max="11524" width="12.42578125" style="1" customWidth="1"/>
    <col min="11525" max="11525" width="7.140625" style="1" customWidth="1"/>
    <col min="11526" max="11526" width="9.5703125" style="1" customWidth="1"/>
    <col min="11527" max="11527" width="16.140625" style="1" customWidth="1"/>
    <col min="11528" max="11528" width="15" style="1" customWidth="1"/>
    <col min="11529" max="11529" width="14.5703125" style="1" customWidth="1"/>
    <col min="11530" max="11531" width="12.42578125" style="1" customWidth="1"/>
    <col min="11532" max="11532" width="12.85546875" style="1" customWidth="1"/>
    <col min="11533" max="11534" width="12.42578125" style="1" customWidth="1"/>
    <col min="11535" max="11535" width="11.7109375" style="1" customWidth="1"/>
    <col min="11536" max="11536" width="16" style="1" customWidth="1"/>
    <col min="11537" max="11537" width="16.85546875" style="1" customWidth="1"/>
    <col min="11538" max="11538" width="12" style="1" customWidth="1"/>
    <col min="11539" max="11539" width="12.140625" style="1" customWidth="1"/>
    <col min="11540" max="11540" width="11.7109375" style="1" customWidth="1"/>
    <col min="11541" max="11542" width="11.42578125" style="1"/>
    <col min="11543" max="11543" width="14.7109375" style="1" customWidth="1"/>
    <col min="11544" max="11544" width="11.7109375" style="1" customWidth="1"/>
    <col min="11545" max="11548" width="13.42578125" style="1" customWidth="1"/>
    <col min="11549" max="11549" width="11.7109375" style="1" customWidth="1"/>
    <col min="11550" max="11550" width="13.5703125" style="1" customWidth="1"/>
    <col min="11551" max="11556" width="14.42578125" style="1" customWidth="1"/>
    <col min="11557" max="11557" width="12.28515625" style="1" customWidth="1"/>
    <col min="11558" max="11764" width="11.42578125" style="1"/>
    <col min="11765" max="11770" width="11.42578125" style="1" customWidth="1"/>
    <col min="11771" max="11771" width="11.42578125" style="1"/>
    <col min="11772" max="11773" width="16.85546875" style="1" customWidth="1"/>
    <col min="11774" max="11774" width="13.42578125" style="1" customWidth="1"/>
    <col min="11775" max="11776" width="11.42578125" style="1"/>
    <col min="11777" max="11777" width="14" style="1" customWidth="1"/>
    <col min="11778" max="11778" width="7.140625" style="1" customWidth="1"/>
    <col min="11779" max="11779" width="13.7109375" style="1" customWidth="1"/>
    <col min="11780" max="11780" width="12.42578125" style="1" customWidth="1"/>
    <col min="11781" max="11781" width="7.140625" style="1" customWidth="1"/>
    <col min="11782" max="11782" width="9.5703125" style="1" customWidth="1"/>
    <col min="11783" max="11783" width="16.140625" style="1" customWidth="1"/>
    <col min="11784" max="11784" width="15" style="1" customWidth="1"/>
    <col min="11785" max="11785" width="14.5703125" style="1" customWidth="1"/>
    <col min="11786" max="11787" width="12.42578125" style="1" customWidth="1"/>
    <col min="11788" max="11788" width="12.85546875" style="1" customWidth="1"/>
    <col min="11789" max="11790" width="12.42578125" style="1" customWidth="1"/>
    <col min="11791" max="11791" width="11.7109375" style="1" customWidth="1"/>
    <col min="11792" max="11792" width="16" style="1" customWidth="1"/>
    <col min="11793" max="11793" width="16.85546875" style="1" customWidth="1"/>
    <col min="11794" max="11794" width="12" style="1" customWidth="1"/>
    <col min="11795" max="11795" width="12.140625" style="1" customWidth="1"/>
    <col min="11796" max="11796" width="11.7109375" style="1" customWidth="1"/>
    <col min="11797" max="11798" width="11.42578125" style="1"/>
    <col min="11799" max="11799" width="14.7109375" style="1" customWidth="1"/>
    <col min="11800" max="11800" width="11.7109375" style="1" customWidth="1"/>
    <col min="11801" max="11804" width="13.42578125" style="1" customWidth="1"/>
    <col min="11805" max="11805" width="11.7109375" style="1" customWidth="1"/>
    <col min="11806" max="11806" width="13.5703125" style="1" customWidth="1"/>
    <col min="11807" max="11812" width="14.42578125" style="1" customWidth="1"/>
    <col min="11813" max="11813" width="12.28515625" style="1" customWidth="1"/>
    <col min="11814" max="12020" width="11.42578125" style="1"/>
    <col min="12021" max="12026" width="11.42578125" style="1" customWidth="1"/>
    <col min="12027" max="12027" width="11.42578125" style="1"/>
    <col min="12028" max="12029" width="16.85546875" style="1" customWidth="1"/>
    <col min="12030" max="12030" width="13.42578125" style="1" customWidth="1"/>
    <col min="12031" max="12032" width="11.42578125" style="1"/>
    <col min="12033" max="12033" width="14" style="1" customWidth="1"/>
    <col min="12034" max="12034" width="7.140625" style="1" customWidth="1"/>
    <col min="12035" max="12035" width="13.7109375" style="1" customWidth="1"/>
    <col min="12036" max="12036" width="12.42578125" style="1" customWidth="1"/>
    <col min="12037" max="12037" width="7.140625" style="1" customWidth="1"/>
    <col min="12038" max="12038" width="9.5703125" style="1" customWidth="1"/>
    <col min="12039" max="12039" width="16.140625" style="1" customWidth="1"/>
    <col min="12040" max="12040" width="15" style="1" customWidth="1"/>
    <col min="12041" max="12041" width="14.5703125" style="1" customWidth="1"/>
    <col min="12042" max="12043" width="12.42578125" style="1" customWidth="1"/>
    <col min="12044" max="12044" width="12.85546875" style="1" customWidth="1"/>
    <col min="12045" max="12046" width="12.42578125" style="1" customWidth="1"/>
    <col min="12047" max="12047" width="11.7109375" style="1" customWidth="1"/>
    <col min="12048" max="12048" width="16" style="1" customWidth="1"/>
    <col min="12049" max="12049" width="16.85546875" style="1" customWidth="1"/>
    <col min="12050" max="12050" width="12" style="1" customWidth="1"/>
    <col min="12051" max="12051" width="12.140625" style="1" customWidth="1"/>
    <col min="12052" max="12052" width="11.7109375" style="1" customWidth="1"/>
    <col min="12053" max="12054" width="11.42578125" style="1"/>
    <col min="12055" max="12055" width="14.7109375" style="1" customWidth="1"/>
    <col min="12056" max="12056" width="11.7109375" style="1" customWidth="1"/>
    <col min="12057" max="12060" width="13.42578125" style="1" customWidth="1"/>
    <col min="12061" max="12061" width="11.7109375" style="1" customWidth="1"/>
    <col min="12062" max="12062" width="13.5703125" style="1" customWidth="1"/>
    <col min="12063" max="12068" width="14.42578125" style="1" customWidth="1"/>
    <col min="12069" max="12069" width="12.28515625" style="1" customWidth="1"/>
    <col min="12070" max="12276" width="11.42578125" style="1"/>
    <col min="12277" max="12282" width="11.42578125" style="1" customWidth="1"/>
    <col min="12283" max="12283" width="11.42578125" style="1"/>
    <col min="12284" max="12285" width="16.85546875" style="1" customWidth="1"/>
    <col min="12286" max="12286" width="13.42578125" style="1" customWidth="1"/>
    <col min="12287" max="12288" width="11.42578125" style="1"/>
    <col min="12289" max="12289" width="14" style="1" customWidth="1"/>
    <col min="12290" max="12290" width="7.140625" style="1" customWidth="1"/>
    <col min="12291" max="12291" width="13.7109375" style="1" customWidth="1"/>
    <col min="12292" max="12292" width="12.42578125" style="1" customWidth="1"/>
    <col min="12293" max="12293" width="7.140625" style="1" customWidth="1"/>
    <col min="12294" max="12294" width="9.5703125" style="1" customWidth="1"/>
    <col min="12295" max="12295" width="16.140625" style="1" customWidth="1"/>
    <col min="12296" max="12296" width="15" style="1" customWidth="1"/>
    <col min="12297" max="12297" width="14.5703125" style="1" customWidth="1"/>
    <col min="12298" max="12299" width="12.42578125" style="1" customWidth="1"/>
    <col min="12300" max="12300" width="12.85546875" style="1" customWidth="1"/>
    <col min="12301" max="12302" width="12.42578125" style="1" customWidth="1"/>
    <col min="12303" max="12303" width="11.7109375" style="1" customWidth="1"/>
    <col min="12304" max="12304" width="16" style="1" customWidth="1"/>
    <col min="12305" max="12305" width="16.85546875" style="1" customWidth="1"/>
    <col min="12306" max="12306" width="12" style="1" customWidth="1"/>
    <col min="12307" max="12307" width="12.140625" style="1" customWidth="1"/>
    <col min="12308" max="12308" width="11.7109375" style="1" customWidth="1"/>
    <col min="12309" max="12310" width="11.42578125" style="1"/>
    <col min="12311" max="12311" width="14.7109375" style="1" customWidth="1"/>
    <col min="12312" max="12312" width="11.7109375" style="1" customWidth="1"/>
    <col min="12313" max="12316" width="13.42578125" style="1" customWidth="1"/>
    <col min="12317" max="12317" width="11.7109375" style="1" customWidth="1"/>
    <col min="12318" max="12318" width="13.5703125" style="1" customWidth="1"/>
    <col min="12319" max="12324" width="14.42578125" style="1" customWidth="1"/>
    <col min="12325" max="12325" width="12.28515625" style="1" customWidth="1"/>
    <col min="12326" max="12532" width="11.42578125" style="1"/>
    <col min="12533" max="12538" width="11.42578125" style="1" customWidth="1"/>
    <col min="12539" max="12539" width="11.42578125" style="1"/>
    <col min="12540" max="12541" width="16.85546875" style="1" customWidth="1"/>
    <col min="12542" max="12542" width="13.42578125" style="1" customWidth="1"/>
    <col min="12543" max="12544" width="11.42578125" style="1"/>
    <col min="12545" max="12545" width="14" style="1" customWidth="1"/>
    <col min="12546" max="12546" width="7.140625" style="1" customWidth="1"/>
    <col min="12547" max="12547" width="13.7109375" style="1" customWidth="1"/>
    <col min="12548" max="12548" width="12.42578125" style="1" customWidth="1"/>
    <col min="12549" max="12549" width="7.140625" style="1" customWidth="1"/>
    <col min="12550" max="12550" width="9.5703125" style="1" customWidth="1"/>
    <col min="12551" max="12551" width="16.140625" style="1" customWidth="1"/>
    <col min="12552" max="12552" width="15" style="1" customWidth="1"/>
    <col min="12553" max="12553" width="14.5703125" style="1" customWidth="1"/>
    <col min="12554" max="12555" width="12.42578125" style="1" customWidth="1"/>
    <col min="12556" max="12556" width="12.85546875" style="1" customWidth="1"/>
    <col min="12557" max="12558" width="12.42578125" style="1" customWidth="1"/>
    <col min="12559" max="12559" width="11.7109375" style="1" customWidth="1"/>
    <col min="12560" max="12560" width="16" style="1" customWidth="1"/>
    <col min="12561" max="12561" width="16.85546875" style="1" customWidth="1"/>
    <col min="12562" max="12562" width="12" style="1" customWidth="1"/>
    <col min="12563" max="12563" width="12.140625" style="1" customWidth="1"/>
    <col min="12564" max="12564" width="11.7109375" style="1" customWidth="1"/>
    <col min="12565" max="12566" width="11.42578125" style="1"/>
    <col min="12567" max="12567" width="14.7109375" style="1" customWidth="1"/>
    <col min="12568" max="12568" width="11.7109375" style="1" customWidth="1"/>
    <col min="12569" max="12572" width="13.42578125" style="1" customWidth="1"/>
    <col min="12573" max="12573" width="11.7109375" style="1" customWidth="1"/>
    <col min="12574" max="12574" width="13.5703125" style="1" customWidth="1"/>
    <col min="12575" max="12580" width="14.42578125" style="1" customWidth="1"/>
    <col min="12581" max="12581" width="12.28515625" style="1" customWidth="1"/>
    <col min="12582" max="12788" width="11.42578125" style="1"/>
    <col min="12789" max="12794" width="11.42578125" style="1" customWidth="1"/>
    <col min="12795" max="12795" width="11.42578125" style="1"/>
    <col min="12796" max="12797" width="16.85546875" style="1" customWidth="1"/>
    <col min="12798" max="12798" width="13.42578125" style="1" customWidth="1"/>
    <col min="12799" max="12800" width="11.42578125" style="1"/>
    <col min="12801" max="12801" width="14" style="1" customWidth="1"/>
    <col min="12802" max="12802" width="7.140625" style="1" customWidth="1"/>
    <col min="12803" max="12803" width="13.7109375" style="1" customWidth="1"/>
    <col min="12804" max="12804" width="12.42578125" style="1" customWidth="1"/>
    <col min="12805" max="12805" width="7.140625" style="1" customWidth="1"/>
    <col min="12806" max="12806" width="9.5703125" style="1" customWidth="1"/>
    <col min="12807" max="12807" width="16.140625" style="1" customWidth="1"/>
    <col min="12808" max="12808" width="15" style="1" customWidth="1"/>
    <col min="12809" max="12809" width="14.5703125" style="1" customWidth="1"/>
    <col min="12810" max="12811" width="12.42578125" style="1" customWidth="1"/>
    <col min="12812" max="12812" width="12.85546875" style="1" customWidth="1"/>
    <col min="12813" max="12814" width="12.42578125" style="1" customWidth="1"/>
    <col min="12815" max="12815" width="11.7109375" style="1" customWidth="1"/>
    <col min="12816" max="12816" width="16" style="1" customWidth="1"/>
    <col min="12817" max="12817" width="16.85546875" style="1" customWidth="1"/>
    <col min="12818" max="12818" width="12" style="1" customWidth="1"/>
    <col min="12819" max="12819" width="12.140625" style="1" customWidth="1"/>
    <col min="12820" max="12820" width="11.7109375" style="1" customWidth="1"/>
    <col min="12821" max="12822" width="11.42578125" style="1"/>
    <col min="12823" max="12823" width="14.7109375" style="1" customWidth="1"/>
    <col min="12824" max="12824" width="11.7109375" style="1" customWidth="1"/>
    <col min="12825" max="12828" width="13.42578125" style="1" customWidth="1"/>
    <col min="12829" max="12829" width="11.7109375" style="1" customWidth="1"/>
    <col min="12830" max="12830" width="13.5703125" style="1" customWidth="1"/>
    <col min="12831" max="12836" width="14.42578125" style="1" customWidth="1"/>
    <col min="12837" max="12837" width="12.28515625" style="1" customWidth="1"/>
    <col min="12838" max="13044" width="11.42578125" style="1"/>
    <col min="13045" max="13050" width="11.42578125" style="1" customWidth="1"/>
    <col min="13051" max="13051" width="11.42578125" style="1"/>
    <col min="13052" max="13053" width="16.85546875" style="1" customWidth="1"/>
    <col min="13054" max="13054" width="13.42578125" style="1" customWidth="1"/>
    <col min="13055" max="13056" width="11.42578125" style="1"/>
    <col min="13057" max="13057" width="14" style="1" customWidth="1"/>
    <col min="13058" max="13058" width="7.140625" style="1" customWidth="1"/>
    <col min="13059" max="13059" width="13.7109375" style="1" customWidth="1"/>
    <col min="13060" max="13060" width="12.42578125" style="1" customWidth="1"/>
    <col min="13061" max="13061" width="7.140625" style="1" customWidth="1"/>
    <col min="13062" max="13062" width="9.5703125" style="1" customWidth="1"/>
    <col min="13063" max="13063" width="16.140625" style="1" customWidth="1"/>
    <col min="13064" max="13064" width="15" style="1" customWidth="1"/>
    <col min="13065" max="13065" width="14.5703125" style="1" customWidth="1"/>
    <col min="13066" max="13067" width="12.42578125" style="1" customWidth="1"/>
    <col min="13068" max="13068" width="12.85546875" style="1" customWidth="1"/>
    <col min="13069" max="13070" width="12.42578125" style="1" customWidth="1"/>
    <col min="13071" max="13071" width="11.7109375" style="1" customWidth="1"/>
    <col min="13072" max="13072" width="16" style="1" customWidth="1"/>
    <col min="13073" max="13073" width="16.85546875" style="1" customWidth="1"/>
    <col min="13074" max="13074" width="12" style="1" customWidth="1"/>
    <col min="13075" max="13075" width="12.140625" style="1" customWidth="1"/>
    <col min="13076" max="13076" width="11.7109375" style="1" customWidth="1"/>
    <col min="13077" max="13078" width="11.42578125" style="1"/>
    <col min="13079" max="13079" width="14.7109375" style="1" customWidth="1"/>
    <col min="13080" max="13080" width="11.7109375" style="1" customWidth="1"/>
    <col min="13081" max="13084" width="13.42578125" style="1" customWidth="1"/>
    <col min="13085" max="13085" width="11.7109375" style="1" customWidth="1"/>
    <col min="13086" max="13086" width="13.5703125" style="1" customWidth="1"/>
    <col min="13087" max="13092" width="14.42578125" style="1" customWidth="1"/>
    <col min="13093" max="13093" width="12.28515625" style="1" customWidth="1"/>
    <col min="13094" max="13300" width="11.42578125" style="1"/>
    <col min="13301" max="13306" width="11.42578125" style="1" customWidth="1"/>
    <col min="13307" max="13307" width="11.42578125" style="1"/>
    <col min="13308" max="13309" width="16.85546875" style="1" customWidth="1"/>
    <col min="13310" max="13310" width="13.42578125" style="1" customWidth="1"/>
    <col min="13311" max="13312" width="11.42578125" style="1"/>
    <col min="13313" max="13313" width="14" style="1" customWidth="1"/>
    <col min="13314" max="13314" width="7.140625" style="1" customWidth="1"/>
    <col min="13315" max="13315" width="13.7109375" style="1" customWidth="1"/>
    <col min="13316" max="13316" width="12.42578125" style="1" customWidth="1"/>
    <col min="13317" max="13317" width="7.140625" style="1" customWidth="1"/>
    <col min="13318" max="13318" width="9.5703125" style="1" customWidth="1"/>
    <col min="13319" max="13319" width="16.140625" style="1" customWidth="1"/>
    <col min="13320" max="13320" width="15" style="1" customWidth="1"/>
    <col min="13321" max="13321" width="14.5703125" style="1" customWidth="1"/>
    <col min="13322" max="13323" width="12.42578125" style="1" customWidth="1"/>
    <col min="13324" max="13324" width="12.85546875" style="1" customWidth="1"/>
    <col min="13325" max="13326" width="12.42578125" style="1" customWidth="1"/>
    <col min="13327" max="13327" width="11.7109375" style="1" customWidth="1"/>
    <col min="13328" max="13328" width="16" style="1" customWidth="1"/>
    <col min="13329" max="13329" width="16.85546875" style="1" customWidth="1"/>
    <col min="13330" max="13330" width="12" style="1" customWidth="1"/>
    <col min="13331" max="13331" width="12.140625" style="1" customWidth="1"/>
    <col min="13332" max="13332" width="11.7109375" style="1" customWidth="1"/>
    <col min="13333" max="13334" width="11.42578125" style="1"/>
    <col min="13335" max="13335" width="14.7109375" style="1" customWidth="1"/>
    <col min="13336" max="13336" width="11.7109375" style="1" customWidth="1"/>
    <col min="13337" max="13340" width="13.42578125" style="1" customWidth="1"/>
    <col min="13341" max="13341" width="11.7109375" style="1" customWidth="1"/>
    <col min="13342" max="13342" width="13.5703125" style="1" customWidth="1"/>
    <col min="13343" max="13348" width="14.42578125" style="1" customWidth="1"/>
    <col min="13349" max="13349" width="12.28515625" style="1" customWidth="1"/>
    <col min="13350" max="13556" width="11.42578125" style="1"/>
    <col min="13557" max="13562" width="11.42578125" style="1" customWidth="1"/>
    <col min="13563" max="13563" width="11.42578125" style="1"/>
    <col min="13564" max="13565" width="16.85546875" style="1" customWidth="1"/>
    <col min="13566" max="13566" width="13.42578125" style="1" customWidth="1"/>
    <col min="13567" max="13568" width="11.42578125" style="1"/>
    <col min="13569" max="13569" width="14" style="1" customWidth="1"/>
    <col min="13570" max="13570" width="7.140625" style="1" customWidth="1"/>
    <col min="13571" max="13571" width="13.7109375" style="1" customWidth="1"/>
    <col min="13572" max="13572" width="12.42578125" style="1" customWidth="1"/>
    <col min="13573" max="13573" width="7.140625" style="1" customWidth="1"/>
    <col min="13574" max="13574" width="9.5703125" style="1" customWidth="1"/>
    <col min="13575" max="13575" width="16.140625" style="1" customWidth="1"/>
    <col min="13576" max="13576" width="15" style="1" customWidth="1"/>
    <col min="13577" max="13577" width="14.5703125" style="1" customWidth="1"/>
    <col min="13578" max="13579" width="12.42578125" style="1" customWidth="1"/>
    <col min="13580" max="13580" width="12.85546875" style="1" customWidth="1"/>
    <col min="13581" max="13582" width="12.42578125" style="1" customWidth="1"/>
    <col min="13583" max="13583" width="11.7109375" style="1" customWidth="1"/>
    <col min="13584" max="13584" width="16" style="1" customWidth="1"/>
    <col min="13585" max="13585" width="16.85546875" style="1" customWidth="1"/>
    <col min="13586" max="13586" width="12" style="1" customWidth="1"/>
    <col min="13587" max="13587" width="12.140625" style="1" customWidth="1"/>
    <col min="13588" max="13588" width="11.7109375" style="1" customWidth="1"/>
    <col min="13589" max="13590" width="11.42578125" style="1"/>
    <col min="13591" max="13591" width="14.7109375" style="1" customWidth="1"/>
    <col min="13592" max="13592" width="11.7109375" style="1" customWidth="1"/>
    <col min="13593" max="13596" width="13.42578125" style="1" customWidth="1"/>
    <col min="13597" max="13597" width="11.7109375" style="1" customWidth="1"/>
    <col min="13598" max="13598" width="13.5703125" style="1" customWidth="1"/>
    <col min="13599" max="13604" width="14.42578125" style="1" customWidth="1"/>
    <col min="13605" max="13605" width="12.28515625" style="1" customWidth="1"/>
    <col min="13606" max="13812" width="11.42578125" style="1"/>
    <col min="13813" max="13818" width="11.42578125" style="1" customWidth="1"/>
    <col min="13819" max="13819" width="11.42578125" style="1"/>
    <col min="13820" max="13821" width="16.85546875" style="1" customWidth="1"/>
    <col min="13822" max="13822" width="13.42578125" style="1" customWidth="1"/>
    <col min="13823" max="13824" width="11.42578125" style="1"/>
    <col min="13825" max="13825" width="14" style="1" customWidth="1"/>
    <col min="13826" max="13826" width="7.140625" style="1" customWidth="1"/>
    <col min="13827" max="13827" width="13.7109375" style="1" customWidth="1"/>
    <col min="13828" max="13828" width="12.42578125" style="1" customWidth="1"/>
    <col min="13829" max="13829" width="7.140625" style="1" customWidth="1"/>
    <col min="13830" max="13830" width="9.5703125" style="1" customWidth="1"/>
    <col min="13831" max="13831" width="16.140625" style="1" customWidth="1"/>
    <col min="13832" max="13832" width="15" style="1" customWidth="1"/>
    <col min="13833" max="13833" width="14.5703125" style="1" customWidth="1"/>
    <col min="13834" max="13835" width="12.42578125" style="1" customWidth="1"/>
    <col min="13836" max="13836" width="12.85546875" style="1" customWidth="1"/>
    <col min="13837" max="13838" width="12.42578125" style="1" customWidth="1"/>
    <col min="13839" max="13839" width="11.7109375" style="1" customWidth="1"/>
    <col min="13840" max="13840" width="16" style="1" customWidth="1"/>
    <col min="13841" max="13841" width="16.85546875" style="1" customWidth="1"/>
    <col min="13842" max="13842" width="12" style="1" customWidth="1"/>
    <col min="13843" max="13843" width="12.140625" style="1" customWidth="1"/>
    <col min="13844" max="13844" width="11.7109375" style="1" customWidth="1"/>
    <col min="13845" max="13846" width="11.42578125" style="1"/>
    <col min="13847" max="13847" width="14.7109375" style="1" customWidth="1"/>
    <col min="13848" max="13848" width="11.7109375" style="1" customWidth="1"/>
    <col min="13849" max="13852" width="13.42578125" style="1" customWidth="1"/>
    <col min="13853" max="13853" width="11.7109375" style="1" customWidth="1"/>
    <col min="13854" max="13854" width="13.5703125" style="1" customWidth="1"/>
    <col min="13855" max="13860" width="14.42578125" style="1" customWidth="1"/>
    <col min="13861" max="13861" width="12.28515625" style="1" customWidth="1"/>
    <col min="13862" max="14068" width="11.42578125" style="1"/>
    <col min="14069" max="14074" width="11.42578125" style="1" customWidth="1"/>
    <col min="14075" max="14075" width="11.42578125" style="1"/>
    <col min="14076" max="14077" width="16.85546875" style="1" customWidth="1"/>
    <col min="14078" max="14078" width="13.42578125" style="1" customWidth="1"/>
    <col min="14079" max="14080" width="11.42578125" style="1"/>
    <col min="14081" max="14081" width="14" style="1" customWidth="1"/>
    <col min="14082" max="14082" width="7.140625" style="1" customWidth="1"/>
    <col min="14083" max="14083" width="13.7109375" style="1" customWidth="1"/>
    <col min="14084" max="14084" width="12.42578125" style="1" customWidth="1"/>
    <col min="14085" max="14085" width="7.140625" style="1" customWidth="1"/>
    <col min="14086" max="14086" width="9.5703125" style="1" customWidth="1"/>
    <col min="14087" max="14087" width="16.140625" style="1" customWidth="1"/>
    <col min="14088" max="14088" width="15" style="1" customWidth="1"/>
    <col min="14089" max="14089" width="14.5703125" style="1" customWidth="1"/>
    <col min="14090" max="14091" width="12.42578125" style="1" customWidth="1"/>
    <col min="14092" max="14092" width="12.85546875" style="1" customWidth="1"/>
    <col min="14093" max="14094" width="12.42578125" style="1" customWidth="1"/>
    <col min="14095" max="14095" width="11.7109375" style="1" customWidth="1"/>
    <col min="14096" max="14096" width="16" style="1" customWidth="1"/>
    <col min="14097" max="14097" width="16.85546875" style="1" customWidth="1"/>
    <col min="14098" max="14098" width="12" style="1" customWidth="1"/>
    <col min="14099" max="14099" width="12.140625" style="1" customWidth="1"/>
    <col min="14100" max="14100" width="11.7109375" style="1" customWidth="1"/>
    <col min="14101" max="14102" width="11.42578125" style="1"/>
    <col min="14103" max="14103" width="14.7109375" style="1" customWidth="1"/>
    <col min="14104" max="14104" width="11.7109375" style="1" customWidth="1"/>
    <col min="14105" max="14108" width="13.42578125" style="1" customWidth="1"/>
    <col min="14109" max="14109" width="11.7109375" style="1" customWidth="1"/>
    <col min="14110" max="14110" width="13.5703125" style="1" customWidth="1"/>
    <col min="14111" max="14116" width="14.42578125" style="1" customWidth="1"/>
    <col min="14117" max="14117" width="12.28515625" style="1" customWidth="1"/>
    <col min="14118" max="14324" width="11.42578125" style="1"/>
    <col min="14325" max="14330" width="11.42578125" style="1" customWidth="1"/>
    <col min="14331" max="14331" width="11.42578125" style="1"/>
    <col min="14332" max="14333" width="16.85546875" style="1" customWidth="1"/>
    <col min="14334" max="14334" width="13.42578125" style="1" customWidth="1"/>
    <col min="14335" max="14336" width="11.42578125" style="1"/>
    <col min="14337" max="14337" width="14" style="1" customWidth="1"/>
    <col min="14338" max="14338" width="7.140625" style="1" customWidth="1"/>
    <col min="14339" max="14339" width="13.7109375" style="1" customWidth="1"/>
    <col min="14340" max="14340" width="12.42578125" style="1" customWidth="1"/>
    <col min="14341" max="14341" width="7.140625" style="1" customWidth="1"/>
    <col min="14342" max="14342" width="9.5703125" style="1" customWidth="1"/>
    <col min="14343" max="14343" width="16.140625" style="1" customWidth="1"/>
    <col min="14344" max="14344" width="15" style="1" customWidth="1"/>
    <col min="14345" max="14345" width="14.5703125" style="1" customWidth="1"/>
    <col min="14346" max="14347" width="12.42578125" style="1" customWidth="1"/>
    <col min="14348" max="14348" width="12.85546875" style="1" customWidth="1"/>
    <col min="14349" max="14350" width="12.42578125" style="1" customWidth="1"/>
    <col min="14351" max="14351" width="11.7109375" style="1" customWidth="1"/>
    <col min="14352" max="14352" width="16" style="1" customWidth="1"/>
    <col min="14353" max="14353" width="16.85546875" style="1" customWidth="1"/>
    <col min="14354" max="14354" width="12" style="1" customWidth="1"/>
    <col min="14355" max="14355" width="12.140625" style="1" customWidth="1"/>
    <col min="14356" max="14356" width="11.7109375" style="1" customWidth="1"/>
    <col min="14357" max="14358" width="11.42578125" style="1"/>
    <col min="14359" max="14359" width="14.7109375" style="1" customWidth="1"/>
    <col min="14360" max="14360" width="11.7109375" style="1" customWidth="1"/>
    <col min="14361" max="14364" width="13.42578125" style="1" customWidth="1"/>
    <col min="14365" max="14365" width="11.7109375" style="1" customWidth="1"/>
    <col min="14366" max="14366" width="13.5703125" style="1" customWidth="1"/>
    <col min="14367" max="14372" width="14.42578125" style="1" customWidth="1"/>
    <col min="14373" max="14373" width="12.28515625" style="1" customWidth="1"/>
    <col min="14374" max="14580" width="11.42578125" style="1"/>
    <col min="14581" max="14586" width="11.42578125" style="1" customWidth="1"/>
    <col min="14587" max="14587" width="11.42578125" style="1"/>
    <col min="14588" max="14589" width="16.85546875" style="1" customWidth="1"/>
    <col min="14590" max="14590" width="13.42578125" style="1" customWidth="1"/>
    <col min="14591" max="14592" width="11.42578125" style="1"/>
    <col min="14593" max="14593" width="14" style="1" customWidth="1"/>
    <col min="14594" max="14594" width="7.140625" style="1" customWidth="1"/>
    <col min="14595" max="14595" width="13.7109375" style="1" customWidth="1"/>
    <col min="14596" max="14596" width="12.42578125" style="1" customWidth="1"/>
    <col min="14597" max="14597" width="7.140625" style="1" customWidth="1"/>
    <col min="14598" max="14598" width="9.5703125" style="1" customWidth="1"/>
    <col min="14599" max="14599" width="16.140625" style="1" customWidth="1"/>
    <col min="14600" max="14600" width="15" style="1" customWidth="1"/>
    <col min="14601" max="14601" width="14.5703125" style="1" customWidth="1"/>
    <col min="14602" max="14603" width="12.42578125" style="1" customWidth="1"/>
    <col min="14604" max="14604" width="12.85546875" style="1" customWidth="1"/>
    <col min="14605" max="14606" width="12.42578125" style="1" customWidth="1"/>
    <col min="14607" max="14607" width="11.7109375" style="1" customWidth="1"/>
    <col min="14608" max="14608" width="16" style="1" customWidth="1"/>
    <col min="14609" max="14609" width="16.85546875" style="1" customWidth="1"/>
    <col min="14610" max="14610" width="12" style="1" customWidth="1"/>
    <col min="14611" max="14611" width="12.140625" style="1" customWidth="1"/>
    <col min="14612" max="14612" width="11.7109375" style="1" customWidth="1"/>
    <col min="14613" max="14614" width="11.42578125" style="1"/>
    <col min="14615" max="14615" width="14.7109375" style="1" customWidth="1"/>
    <col min="14616" max="14616" width="11.7109375" style="1" customWidth="1"/>
    <col min="14617" max="14620" width="13.42578125" style="1" customWidth="1"/>
    <col min="14621" max="14621" width="11.7109375" style="1" customWidth="1"/>
    <col min="14622" max="14622" width="13.5703125" style="1" customWidth="1"/>
    <col min="14623" max="14628" width="14.42578125" style="1" customWidth="1"/>
    <col min="14629" max="14629" width="12.28515625" style="1" customWidth="1"/>
    <col min="14630" max="14836" width="11.42578125" style="1"/>
    <col min="14837" max="14842" width="11.42578125" style="1" customWidth="1"/>
    <col min="14843" max="14843" width="11.42578125" style="1"/>
    <col min="14844" max="14845" width="16.85546875" style="1" customWidth="1"/>
    <col min="14846" max="14846" width="13.42578125" style="1" customWidth="1"/>
    <col min="14847" max="14848" width="11.42578125" style="1"/>
    <col min="14849" max="14849" width="14" style="1" customWidth="1"/>
    <col min="14850" max="14850" width="7.140625" style="1" customWidth="1"/>
    <col min="14851" max="14851" width="13.7109375" style="1" customWidth="1"/>
    <col min="14852" max="14852" width="12.42578125" style="1" customWidth="1"/>
    <col min="14853" max="14853" width="7.140625" style="1" customWidth="1"/>
    <col min="14854" max="14854" width="9.5703125" style="1" customWidth="1"/>
    <col min="14855" max="14855" width="16.140625" style="1" customWidth="1"/>
    <col min="14856" max="14856" width="15" style="1" customWidth="1"/>
    <col min="14857" max="14857" width="14.5703125" style="1" customWidth="1"/>
    <col min="14858" max="14859" width="12.42578125" style="1" customWidth="1"/>
    <col min="14860" max="14860" width="12.85546875" style="1" customWidth="1"/>
    <col min="14861" max="14862" width="12.42578125" style="1" customWidth="1"/>
    <col min="14863" max="14863" width="11.7109375" style="1" customWidth="1"/>
    <col min="14864" max="14864" width="16" style="1" customWidth="1"/>
    <col min="14865" max="14865" width="16.85546875" style="1" customWidth="1"/>
    <col min="14866" max="14866" width="12" style="1" customWidth="1"/>
    <col min="14867" max="14867" width="12.140625" style="1" customWidth="1"/>
    <col min="14868" max="14868" width="11.7109375" style="1" customWidth="1"/>
    <col min="14869" max="14870" width="11.42578125" style="1"/>
    <col min="14871" max="14871" width="14.7109375" style="1" customWidth="1"/>
    <col min="14872" max="14872" width="11.7109375" style="1" customWidth="1"/>
    <col min="14873" max="14876" width="13.42578125" style="1" customWidth="1"/>
    <col min="14877" max="14877" width="11.7109375" style="1" customWidth="1"/>
    <col min="14878" max="14878" width="13.5703125" style="1" customWidth="1"/>
    <col min="14879" max="14884" width="14.42578125" style="1" customWidth="1"/>
    <col min="14885" max="14885" width="12.28515625" style="1" customWidth="1"/>
    <col min="14886" max="15092" width="11.42578125" style="1"/>
    <col min="15093" max="15098" width="11.42578125" style="1" customWidth="1"/>
    <col min="15099" max="15099" width="11.42578125" style="1"/>
    <col min="15100" max="15101" width="16.85546875" style="1" customWidth="1"/>
    <col min="15102" max="15102" width="13.42578125" style="1" customWidth="1"/>
    <col min="15103" max="15104" width="11.42578125" style="1"/>
    <col min="15105" max="15105" width="14" style="1" customWidth="1"/>
    <col min="15106" max="15106" width="7.140625" style="1" customWidth="1"/>
    <col min="15107" max="15107" width="13.7109375" style="1" customWidth="1"/>
    <col min="15108" max="15108" width="12.42578125" style="1" customWidth="1"/>
    <col min="15109" max="15109" width="7.140625" style="1" customWidth="1"/>
    <col min="15110" max="15110" width="9.5703125" style="1" customWidth="1"/>
    <col min="15111" max="15111" width="16.140625" style="1" customWidth="1"/>
    <col min="15112" max="15112" width="15" style="1" customWidth="1"/>
    <col min="15113" max="15113" width="14.5703125" style="1" customWidth="1"/>
    <col min="15114" max="15115" width="12.42578125" style="1" customWidth="1"/>
    <col min="15116" max="15116" width="12.85546875" style="1" customWidth="1"/>
    <col min="15117" max="15118" width="12.42578125" style="1" customWidth="1"/>
    <col min="15119" max="15119" width="11.7109375" style="1" customWidth="1"/>
    <col min="15120" max="15120" width="16" style="1" customWidth="1"/>
    <col min="15121" max="15121" width="16.85546875" style="1" customWidth="1"/>
    <col min="15122" max="15122" width="12" style="1" customWidth="1"/>
    <col min="15123" max="15123" width="12.140625" style="1" customWidth="1"/>
    <col min="15124" max="15124" width="11.7109375" style="1" customWidth="1"/>
    <col min="15125" max="15126" width="11.42578125" style="1"/>
    <col min="15127" max="15127" width="14.7109375" style="1" customWidth="1"/>
    <col min="15128" max="15128" width="11.7109375" style="1" customWidth="1"/>
    <col min="15129" max="15132" width="13.42578125" style="1" customWidth="1"/>
    <col min="15133" max="15133" width="11.7109375" style="1" customWidth="1"/>
    <col min="15134" max="15134" width="13.5703125" style="1" customWidth="1"/>
    <col min="15135" max="15140" width="14.42578125" style="1" customWidth="1"/>
    <col min="15141" max="15141" width="12.28515625" style="1" customWidth="1"/>
    <col min="15142" max="15348" width="11.42578125" style="1"/>
    <col min="15349" max="15354" width="11.42578125" style="1" customWidth="1"/>
    <col min="15355" max="15355" width="11.42578125" style="1"/>
    <col min="15356" max="15357" width="16.85546875" style="1" customWidth="1"/>
    <col min="15358" max="15358" width="13.42578125" style="1" customWidth="1"/>
    <col min="15359" max="15360" width="11.42578125" style="1"/>
    <col min="15361" max="15361" width="14" style="1" customWidth="1"/>
    <col min="15362" max="15362" width="7.140625" style="1" customWidth="1"/>
    <col min="15363" max="15363" width="13.7109375" style="1" customWidth="1"/>
    <col min="15364" max="15364" width="12.42578125" style="1" customWidth="1"/>
    <col min="15365" max="15365" width="7.140625" style="1" customWidth="1"/>
    <col min="15366" max="15366" width="9.5703125" style="1" customWidth="1"/>
    <col min="15367" max="15367" width="16.140625" style="1" customWidth="1"/>
    <col min="15368" max="15368" width="15" style="1" customWidth="1"/>
    <col min="15369" max="15369" width="14.5703125" style="1" customWidth="1"/>
    <col min="15370" max="15371" width="12.42578125" style="1" customWidth="1"/>
    <col min="15372" max="15372" width="12.85546875" style="1" customWidth="1"/>
    <col min="15373" max="15374" width="12.42578125" style="1" customWidth="1"/>
    <col min="15375" max="15375" width="11.7109375" style="1" customWidth="1"/>
    <col min="15376" max="15376" width="16" style="1" customWidth="1"/>
    <col min="15377" max="15377" width="16.85546875" style="1" customWidth="1"/>
    <col min="15378" max="15378" width="12" style="1" customWidth="1"/>
    <col min="15379" max="15379" width="12.140625" style="1" customWidth="1"/>
    <col min="15380" max="15380" width="11.7109375" style="1" customWidth="1"/>
    <col min="15381" max="15382" width="11.42578125" style="1"/>
    <col min="15383" max="15383" width="14.7109375" style="1" customWidth="1"/>
    <col min="15384" max="15384" width="11.7109375" style="1" customWidth="1"/>
    <col min="15385" max="15388" width="13.42578125" style="1" customWidth="1"/>
    <col min="15389" max="15389" width="11.7109375" style="1" customWidth="1"/>
    <col min="15390" max="15390" width="13.5703125" style="1" customWidth="1"/>
    <col min="15391" max="15396" width="14.42578125" style="1" customWidth="1"/>
    <col min="15397" max="15397" width="12.28515625" style="1" customWidth="1"/>
    <col min="15398" max="15604" width="11.42578125" style="1"/>
    <col min="15605" max="15610" width="11.42578125" style="1" customWidth="1"/>
    <col min="15611" max="15611" width="11.42578125" style="1"/>
    <col min="15612" max="15613" width="16.85546875" style="1" customWidth="1"/>
    <col min="15614" max="15614" width="13.42578125" style="1" customWidth="1"/>
    <col min="15615" max="15616" width="11.42578125" style="1"/>
    <col min="15617" max="15617" width="14" style="1" customWidth="1"/>
    <col min="15618" max="15618" width="7.140625" style="1" customWidth="1"/>
    <col min="15619" max="15619" width="13.7109375" style="1" customWidth="1"/>
    <col min="15620" max="15620" width="12.42578125" style="1" customWidth="1"/>
    <col min="15621" max="15621" width="7.140625" style="1" customWidth="1"/>
    <col min="15622" max="15622" width="9.5703125" style="1" customWidth="1"/>
    <col min="15623" max="15623" width="16.140625" style="1" customWidth="1"/>
    <col min="15624" max="15624" width="15" style="1" customWidth="1"/>
    <col min="15625" max="15625" width="14.5703125" style="1" customWidth="1"/>
    <col min="15626" max="15627" width="12.42578125" style="1" customWidth="1"/>
    <col min="15628" max="15628" width="12.85546875" style="1" customWidth="1"/>
    <col min="15629" max="15630" width="12.42578125" style="1" customWidth="1"/>
    <col min="15631" max="15631" width="11.7109375" style="1" customWidth="1"/>
    <col min="15632" max="15632" width="16" style="1" customWidth="1"/>
    <col min="15633" max="15633" width="16.85546875" style="1" customWidth="1"/>
    <col min="15634" max="15634" width="12" style="1" customWidth="1"/>
    <col min="15635" max="15635" width="12.140625" style="1" customWidth="1"/>
    <col min="15636" max="15636" width="11.7109375" style="1" customWidth="1"/>
    <col min="15637" max="15638" width="11.42578125" style="1"/>
    <col min="15639" max="15639" width="14.7109375" style="1" customWidth="1"/>
    <col min="15640" max="15640" width="11.7109375" style="1" customWidth="1"/>
    <col min="15641" max="15644" width="13.42578125" style="1" customWidth="1"/>
    <col min="15645" max="15645" width="11.7109375" style="1" customWidth="1"/>
    <col min="15646" max="15646" width="13.5703125" style="1" customWidth="1"/>
    <col min="15647" max="15652" width="14.42578125" style="1" customWidth="1"/>
    <col min="15653" max="15653" width="12.28515625" style="1" customWidth="1"/>
    <col min="15654" max="15860" width="11.42578125" style="1"/>
    <col min="15861" max="15866" width="11.42578125" style="1" customWidth="1"/>
    <col min="15867" max="15867" width="11.42578125" style="1"/>
    <col min="15868" max="15869" width="16.85546875" style="1" customWidth="1"/>
    <col min="15870" max="15870" width="13.42578125" style="1" customWidth="1"/>
    <col min="15871" max="15872" width="11.42578125" style="1"/>
    <col min="15873" max="15873" width="14" style="1" customWidth="1"/>
    <col min="15874" max="15874" width="7.140625" style="1" customWidth="1"/>
    <col min="15875" max="15875" width="13.7109375" style="1" customWidth="1"/>
    <col min="15876" max="15876" width="12.42578125" style="1" customWidth="1"/>
    <col min="15877" max="15877" width="7.140625" style="1" customWidth="1"/>
    <col min="15878" max="15878" width="9.5703125" style="1" customWidth="1"/>
    <col min="15879" max="15879" width="16.140625" style="1" customWidth="1"/>
    <col min="15880" max="15880" width="15" style="1" customWidth="1"/>
    <col min="15881" max="15881" width="14.5703125" style="1" customWidth="1"/>
    <col min="15882" max="15883" width="12.42578125" style="1" customWidth="1"/>
    <col min="15884" max="15884" width="12.85546875" style="1" customWidth="1"/>
    <col min="15885" max="15886" width="12.42578125" style="1" customWidth="1"/>
    <col min="15887" max="15887" width="11.7109375" style="1" customWidth="1"/>
    <col min="15888" max="15888" width="16" style="1" customWidth="1"/>
    <col min="15889" max="15889" width="16.85546875" style="1" customWidth="1"/>
    <col min="15890" max="15890" width="12" style="1" customWidth="1"/>
    <col min="15891" max="15891" width="12.140625" style="1" customWidth="1"/>
    <col min="15892" max="15892" width="11.7109375" style="1" customWidth="1"/>
    <col min="15893" max="15894" width="11.42578125" style="1"/>
    <col min="15895" max="15895" width="14.7109375" style="1" customWidth="1"/>
    <col min="15896" max="15896" width="11.7109375" style="1" customWidth="1"/>
    <col min="15897" max="15900" width="13.42578125" style="1" customWidth="1"/>
    <col min="15901" max="15901" width="11.7109375" style="1" customWidth="1"/>
    <col min="15902" max="15902" width="13.5703125" style="1" customWidth="1"/>
    <col min="15903" max="15908" width="14.42578125" style="1" customWidth="1"/>
    <col min="15909" max="15909" width="12.28515625" style="1" customWidth="1"/>
    <col min="15910" max="16116" width="11.42578125" style="1"/>
    <col min="16117" max="16122" width="11.42578125" style="1" customWidth="1"/>
    <col min="16123" max="16123" width="11.42578125" style="1"/>
    <col min="16124" max="16125" width="16.85546875" style="1" customWidth="1"/>
    <col min="16126" max="16126" width="13.42578125" style="1" customWidth="1"/>
    <col min="16127" max="16128" width="11.42578125" style="1"/>
    <col min="16129" max="16129" width="14" style="1" customWidth="1"/>
    <col min="16130" max="16130" width="7.140625" style="1" customWidth="1"/>
    <col min="16131" max="16131" width="13.7109375" style="1" customWidth="1"/>
    <col min="16132" max="16132" width="12.42578125" style="1" customWidth="1"/>
    <col min="16133" max="16133" width="7.140625" style="1" customWidth="1"/>
    <col min="16134" max="16134" width="9.5703125" style="1" customWidth="1"/>
    <col min="16135" max="16135" width="16.140625" style="1" customWidth="1"/>
    <col min="16136" max="16136" width="15" style="1" customWidth="1"/>
    <col min="16137" max="16137" width="14.5703125" style="1" customWidth="1"/>
    <col min="16138" max="16139" width="12.42578125" style="1" customWidth="1"/>
    <col min="16140" max="16140" width="12.85546875" style="1" customWidth="1"/>
    <col min="16141" max="16142" width="12.42578125" style="1" customWidth="1"/>
    <col min="16143" max="16143" width="11.7109375" style="1" customWidth="1"/>
    <col min="16144" max="16144" width="16" style="1" customWidth="1"/>
    <col min="16145" max="16145" width="16.85546875" style="1" customWidth="1"/>
    <col min="16146" max="16146" width="12" style="1" customWidth="1"/>
    <col min="16147" max="16147" width="12.140625" style="1" customWidth="1"/>
    <col min="16148" max="16148" width="11.7109375" style="1" customWidth="1"/>
    <col min="16149" max="16150" width="11.42578125" style="1"/>
    <col min="16151" max="16151" width="14.7109375" style="1" customWidth="1"/>
    <col min="16152" max="16152" width="11.7109375" style="1" customWidth="1"/>
    <col min="16153" max="16156" width="13.42578125" style="1" customWidth="1"/>
    <col min="16157" max="16157" width="11.7109375" style="1" customWidth="1"/>
    <col min="16158" max="16158" width="13.5703125" style="1" customWidth="1"/>
    <col min="16159" max="16164" width="14.42578125" style="1" customWidth="1"/>
    <col min="16165" max="16165" width="12.28515625" style="1" customWidth="1"/>
    <col min="16166" max="16384" width="11.42578125" style="1"/>
  </cols>
  <sheetData>
    <row r="1" spans="1:45" ht="21" customHeight="1">
      <c r="B1" s="2" t="s">
        <v>0</v>
      </c>
      <c r="C1" s="2"/>
      <c r="D1" s="2"/>
      <c r="E1" s="2"/>
      <c r="F1" s="2"/>
      <c r="G1" s="2"/>
      <c r="H1" s="2"/>
      <c r="I1" s="2"/>
      <c r="J1" s="2"/>
      <c r="K1" s="2"/>
      <c r="L1" s="2"/>
      <c r="M1" s="2"/>
      <c r="N1" s="2"/>
      <c r="O1" s="2"/>
      <c r="P1" s="2"/>
      <c r="Q1" s="2"/>
      <c r="R1" s="2"/>
      <c r="S1" s="2"/>
      <c r="T1" s="2"/>
      <c r="U1" s="2"/>
      <c r="V1" s="2"/>
      <c r="W1" s="3"/>
      <c r="X1" s="3"/>
      <c r="Y1" s="3"/>
      <c r="Z1" s="3"/>
      <c r="AA1" s="3"/>
      <c r="AB1" s="3"/>
      <c r="AC1" s="3"/>
      <c r="AD1" s="3"/>
      <c r="AE1" s="3"/>
      <c r="AF1" s="3"/>
      <c r="AG1" s="3"/>
      <c r="AH1" s="3"/>
      <c r="AI1" s="3"/>
      <c r="AJ1" s="3"/>
      <c r="AK1" s="3"/>
      <c r="AL1" s="3"/>
      <c r="AM1" s="3"/>
      <c r="AN1" s="3"/>
      <c r="AO1" s="3"/>
      <c r="AP1" s="3"/>
      <c r="AQ1" s="3"/>
      <c r="AR1" s="3"/>
      <c r="AS1" s="3"/>
    </row>
    <row r="2" spans="1:45" ht="21.75" customHeight="1" thickBot="1">
      <c r="B2" s="4" t="s">
        <v>1</v>
      </c>
      <c r="C2" s="4"/>
      <c r="D2" s="4"/>
      <c r="E2" s="4"/>
      <c r="F2" s="4"/>
      <c r="G2" s="4"/>
      <c r="H2" s="4"/>
      <c r="I2" s="4"/>
      <c r="J2" s="4"/>
      <c r="K2" s="4"/>
      <c r="L2" s="4"/>
      <c r="M2" s="4"/>
      <c r="N2" s="4"/>
      <c r="O2" s="4"/>
      <c r="P2" s="4"/>
      <c r="Q2" s="4"/>
      <c r="R2" s="4"/>
      <c r="S2" s="4"/>
      <c r="T2" s="4"/>
      <c r="U2" s="4"/>
      <c r="V2" s="4"/>
    </row>
    <row r="3" spans="1:45" ht="12.75" customHeight="1" thickBot="1">
      <c r="A3" s="5"/>
      <c r="B3" s="6" t="s">
        <v>2</v>
      </c>
      <c r="C3" s="7"/>
      <c r="D3" s="7"/>
      <c r="E3" s="7"/>
      <c r="F3" s="7"/>
      <c r="G3" s="7"/>
      <c r="H3" s="7"/>
      <c r="I3" s="7"/>
      <c r="J3" s="7"/>
      <c r="K3" s="7"/>
      <c r="L3" s="8"/>
      <c r="M3" s="7"/>
      <c r="N3" s="7"/>
      <c r="O3" s="7"/>
      <c r="P3" s="7"/>
      <c r="Q3" s="7"/>
      <c r="R3" s="7"/>
      <c r="S3" s="7"/>
      <c r="T3" s="7"/>
      <c r="U3" s="7"/>
      <c r="V3" s="7"/>
      <c r="W3" s="7"/>
      <c r="X3" s="7"/>
      <c r="Y3" s="7"/>
      <c r="Z3" s="7"/>
      <c r="AA3" s="7"/>
      <c r="AB3" s="7"/>
      <c r="AC3" s="7"/>
      <c r="AD3" s="7"/>
      <c r="AE3" s="7"/>
      <c r="AF3" s="7"/>
      <c r="AG3" s="9"/>
      <c r="AH3" s="9"/>
      <c r="AI3" s="9"/>
      <c r="AJ3" s="9"/>
      <c r="AK3" s="9"/>
      <c r="AL3" s="9"/>
      <c r="AM3" s="9"/>
      <c r="AN3" s="9"/>
      <c r="AO3" s="9"/>
      <c r="AP3" s="9"/>
      <c r="AQ3" s="9"/>
      <c r="AR3" s="9"/>
      <c r="AS3" s="9"/>
    </row>
    <row r="4" spans="1:45" ht="75" customHeight="1" thickBot="1">
      <c r="A4" s="10"/>
      <c r="B4" s="11" t="s">
        <v>3</v>
      </c>
      <c r="C4" s="12"/>
      <c r="D4" s="12"/>
      <c r="E4" s="13" t="s">
        <v>4</v>
      </c>
      <c r="F4" s="14" t="s">
        <v>5</v>
      </c>
      <c r="G4" s="14"/>
      <c r="H4" s="15" t="s">
        <v>6</v>
      </c>
      <c r="I4" s="15" t="s">
        <v>7</v>
      </c>
      <c r="J4" s="16" t="s">
        <v>8</v>
      </c>
      <c r="K4" s="16"/>
      <c r="L4" s="17" t="s">
        <v>9</v>
      </c>
      <c r="M4" s="18" t="s">
        <v>10</v>
      </c>
      <c r="N4" s="19"/>
      <c r="O4" s="20" t="s">
        <v>11</v>
      </c>
      <c r="P4" s="20"/>
      <c r="Q4" s="21" t="s">
        <v>12</v>
      </c>
      <c r="R4" s="22" t="s">
        <v>13</v>
      </c>
      <c r="S4" s="22"/>
      <c r="T4" s="22"/>
      <c r="U4" s="22"/>
      <c r="V4" s="22"/>
      <c r="W4" s="22"/>
      <c r="X4" s="22"/>
      <c r="Y4" s="21" t="s">
        <v>14</v>
      </c>
      <c r="Z4" s="23" t="s">
        <v>15</v>
      </c>
      <c r="AA4" s="23"/>
      <c r="AB4" s="23"/>
      <c r="AC4" s="22" t="s">
        <v>16</v>
      </c>
      <c r="AD4" s="22"/>
      <c r="AE4" s="24" t="s">
        <v>17</v>
      </c>
      <c r="AF4" s="24" t="s">
        <v>18</v>
      </c>
      <c r="AG4" s="25" t="s">
        <v>19</v>
      </c>
      <c r="AH4" s="25"/>
      <c r="AI4" s="25"/>
      <c r="AJ4" s="25"/>
      <c r="AK4" s="25"/>
      <c r="AL4" s="25"/>
      <c r="AM4" s="25"/>
      <c r="AN4" s="25"/>
      <c r="AO4" s="25"/>
      <c r="AP4" s="25"/>
      <c r="AQ4" s="25"/>
      <c r="AR4" s="25"/>
      <c r="AS4" s="25"/>
    </row>
    <row r="5" spans="1:45" ht="113.25" customHeight="1">
      <c r="A5" s="10" t="s">
        <v>20</v>
      </c>
      <c r="B5" s="10" t="s">
        <v>21</v>
      </c>
      <c r="C5" s="13" t="s">
        <v>22</v>
      </c>
      <c r="D5" s="26" t="s">
        <v>23</v>
      </c>
      <c r="E5" s="27" t="s">
        <v>24</v>
      </c>
      <c r="F5" s="28" t="s">
        <v>25</v>
      </c>
      <c r="G5" s="29" t="s">
        <v>26</v>
      </c>
      <c r="H5" s="28" t="s">
        <v>27</v>
      </c>
      <c r="I5" s="28" t="s">
        <v>28</v>
      </c>
      <c r="J5" s="30" t="s">
        <v>29</v>
      </c>
      <c r="K5" s="29" t="s">
        <v>30</v>
      </c>
      <c r="L5" s="31"/>
      <c r="M5" s="32"/>
      <c r="N5" s="32"/>
      <c r="O5" s="28" t="s">
        <v>31</v>
      </c>
      <c r="P5" s="33" t="s">
        <v>32</v>
      </c>
      <c r="Q5" s="34" t="s">
        <v>33</v>
      </c>
      <c r="R5" s="30" t="s">
        <v>34</v>
      </c>
      <c r="S5" s="28" t="s">
        <v>35</v>
      </c>
      <c r="T5" s="28" t="s">
        <v>36</v>
      </c>
      <c r="U5" s="28" t="s">
        <v>37</v>
      </c>
      <c r="V5" s="29" t="s">
        <v>38</v>
      </c>
      <c r="W5" s="29" t="s">
        <v>39</v>
      </c>
      <c r="X5" s="33" t="s">
        <v>40</v>
      </c>
      <c r="Y5" s="34" t="s">
        <v>41</v>
      </c>
      <c r="Z5" s="35" t="s">
        <v>42</v>
      </c>
      <c r="AA5" s="29" t="s">
        <v>43</v>
      </c>
      <c r="AB5" s="29" t="s">
        <v>44</v>
      </c>
      <c r="AC5" s="36" t="s">
        <v>45</v>
      </c>
      <c r="AD5" s="37" t="s">
        <v>46</v>
      </c>
      <c r="AE5" s="38" t="s">
        <v>47</v>
      </c>
      <c r="AF5" s="39" t="s">
        <v>48</v>
      </c>
      <c r="AG5" s="40" t="s">
        <v>49</v>
      </c>
      <c r="AH5" s="40" t="s">
        <v>50</v>
      </c>
      <c r="AI5" s="40" t="s">
        <v>51</v>
      </c>
      <c r="AJ5" s="40" t="s">
        <v>52</v>
      </c>
      <c r="AK5" s="40" t="s">
        <v>53</v>
      </c>
      <c r="AL5" s="40" t="s">
        <v>54</v>
      </c>
      <c r="AM5" s="40" t="s">
        <v>55</v>
      </c>
      <c r="AN5" s="40" t="s">
        <v>56</v>
      </c>
      <c r="AO5" s="40" t="s">
        <v>57</v>
      </c>
      <c r="AP5" s="40" t="s">
        <v>58</v>
      </c>
      <c r="AQ5" s="40" t="s">
        <v>59</v>
      </c>
      <c r="AR5" s="40" t="s">
        <v>60</v>
      </c>
      <c r="AS5" s="40" t="s">
        <v>61</v>
      </c>
    </row>
    <row r="6" spans="1:45" ht="188.25" hidden="1" customHeight="1">
      <c r="A6" s="41" t="str">
        <f>'[1]PLAN PLURIANUAL CUATRIANUAL'!B7</f>
        <v>PATRIMONIO CULTURAL Y CENTRO HISTÓRICO</v>
      </c>
      <c r="B6" s="42">
        <v>1</v>
      </c>
      <c r="C6" s="43" t="str">
        <f>'[1]PLAN PLURIANUAL CUATRIANUAL'!F7</f>
        <v>Intervencion del Edificio Patrimonial del Mercado de San Sebastian y Paseo de Artesanias.  (1ra Etapa)</v>
      </c>
      <c r="D6" s="44" t="str">
        <f>'[1]PLAN PLURIANUAL CUATRIANUAL'!G7</f>
        <v>Ciudad de Loja</v>
      </c>
      <c r="E6" s="45" t="s">
        <v>62</v>
      </c>
      <c r="F6" s="46" t="s">
        <v>63</v>
      </c>
      <c r="G6" s="46" t="s">
        <v>64</v>
      </c>
      <c r="H6" s="45" t="s">
        <v>65</v>
      </c>
      <c r="I6" s="45" t="s">
        <v>66</v>
      </c>
      <c r="J6" s="47">
        <f>'[1]PLAN PLURIANUAL CUATRIANUAL'!H7</f>
        <v>75000</v>
      </c>
      <c r="K6" s="47"/>
      <c r="L6" s="48" t="s">
        <v>67</v>
      </c>
      <c r="M6" s="49"/>
      <c r="N6" s="49" t="s">
        <v>68</v>
      </c>
      <c r="O6" s="47"/>
      <c r="P6" s="47">
        <v>75000</v>
      </c>
      <c r="Q6" s="50">
        <f>SUM(O6:P6)</f>
        <v>75000</v>
      </c>
      <c r="R6" s="51">
        <f>Q6</f>
        <v>75000</v>
      </c>
      <c r="S6" s="51"/>
      <c r="T6" s="51"/>
      <c r="U6" s="51"/>
      <c r="V6" s="51"/>
      <c r="W6" s="51"/>
      <c r="X6" s="51"/>
      <c r="Y6" s="50">
        <f>SUM(R6:X6)</f>
        <v>75000</v>
      </c>
      <c r="Z6" s="52" t="s">
        <v>69</v>
      </c>
      <c r="AA6" s="52" t="str">
        <f>A6</f>
        <v>PATRIMONIO CULTURAL Y CENTRO HISTÓRICO</v>
      </c>
      <c r="AB6" s="52" t="s">
        <v>70</v>
      </c>
      <c r="AC6" s="53">
        <v>42095</v>
      </c>
      <c r="AD6" s="53" t="s">
        <v>71</v>
      </c>
      <c r="AE6" s="54" t="s">
        <v>72</v>
      </c>
      <c r="AF6" s="55"/>
      <c r="AG6" s="56"/>
      <c r="AH6" s="56"/>
      <c r="AI6" s="56"/>
      <c r="AJ6" s="56">
        <v>37500</v>
      </c>
      <c r="AK6" s="56">
        <v>20000</v>
      </c>
      <c r="AL6" s="56">
        <v>17500</v>
      </c>
      <c r="AM6" s="56"/>
      <c r="AN6" s="56"/>
      <c r="AO6" s="56"/>
      <c r="AP6" s="56"/>
      <c r="AQ6" s="56"/>
      <c r="AR6" s="56"/>
      <c r="AS6" s="57">
        <f t="shared" ref="AS6:AS11" si="0">SUM(AG6:AR6)</f>
        <v>75000</v>
      </c>
    </row>
    <row r="7" spans="1:45" ht="188.25" hidden="1" customHeight="1">
      <c r="A7" s="41" t="str">
        <f>'[1]PLAN PLURIANUAL CUATRIANUAL'!B8</f>
        <v>PATRIMONIO CULTURAL Y CENTRO HISTÓRICO</v>
      </c>
      <c r="B7" s="42">
        <v>2</v>
      </c>
      <c r="C7" s="43" t="str">
        <f>'[1]PLAN PLURIANUAL CUATRIANUAL'!F8</f>
        <v>Intervencion del Edificio Patrimonial Casa de Hacienda Punzara y Adecuacion a Nuevo Uso para Centro Distrital. (1ra Etapa)</v>
      </c>
      <c r="D7" s="44" t="str">
        <f>'[1]PLAN PLURIANUAL CUATRIANUAL'!G8</f>
        <v>Ciudad de Loja</v>
      </c>
      <c r="E7" s="45" t="s">
        <v>62</v>
      </c>
      <c r="F7" s="46" t="s">
        <v>63</v>
      </c>
      <c r="G7" s="46" t="s">
        <v>73</v>
      </c>
      <c r="H7" s="46" t="s">
        <v>74</v>
      </c>
      <c r="I7" s="45" t="s">
        <v>75</v>
      </c>
      <c r="J7" s="47">
        <f>'[1]PLAN PLURIANUAL CUATRIANUAL'!H8</f>
        <v>94428.43</v>
      </c>
      <c r="K7" s="47"/>
      <c r="L7" s="48" t="s">
        <v>76</v>
      </c>
      <c r="M7" s="49"/>
      <c r="N7" s="49" t="s">
        <v>68</v>
      </c>
      <c r="O7" s="47"/>
      <c r="P7" s="47">
        <f>J7</f>
        <v>94428.43</v>
      </c>
      <c r="Q7" s="50">
        <f t="shared" ref="Q7:Q11" si="1">SUM(O7:P7)</f>
        <v>94428.43</v>
      </c>
      <c r="R7" s="51">
        <f>Q7</f>
        <v>94428.43</v>
      </c>
      <c r="S7" s="51"/>
      <c r="T7" s="51"/>
      <c r="U7" s="51"/>
      <c r="V7" s="51"/>
      <c r="W7" s="51"/>
      <c r="X7" s="51"/>
      <c r="Y7" s="50">
        <f t="shared" ref="Y7:Y11" si="2">SUM(R7:X7)</f>
        <v>94428.43</v>
      </c>
      <c r="Z7" s="52" t="s">
        <v>69</v>
      </c>
      <c r="AA7" s="52" t="str">
        <f t="shared" ref="AA7:AA11" si="3">A7</f>
        <v>PATRIMONIO CULTURAL Y CENTRO HISTÓRICO</v>
      </c>
      <c r="AB7" s="52" t="s">
        <v>70</v>
      </c>
      <c r="AC7" s="53">
        <v>42186</v>
      </c>
      <c r="AD7" s="53">
        <v>42369</v>
      </c>
      <c r="AE7" s="54" t="s">
        <v>72</v>
      </c>
      <c r="AF7" s="55"/>
      <c r="AG7" s="56"/>
      <c r="AH7" s="56"/>
      <c r="AI7" s="56"/>
      <c r="AJ7" s="56"/>
      <c r="AK7" s="56"/>
      <c r="AL7" s="56"/>
      <c r="AM7" s="56">
        <v>40000</v>
      </c>
      <c r="AN7" s="56">
        <v>10000</v>
      </c>
      <c r="AO7" s="56">
        <v>10000</v>
      </c>
      <c r="AP7" s="56">
        <v>10000</v>
      </c>
      <c r="AQ7" s="56">
        <v>10000</v>
      </c>
      <c r="AR7" s="56">
        <v>14428.43</v>
      </c>
      <c r="AS7" s="57">
        <f t="shared" si="0"/>
        <v>94428.43</v>
      </c>
    </row>
    <row r="8" spans="1:45" ht="188.25" hidden="1" customHeight="1">
      <c r="A8" s="41" t="str">
        <f>'[1]PLAN PLURIANUAL CUATRIANUAL'!B9</f>
        <v>PATRIMONIO CULTURAL Y CENTRO HISTÓRICO</v>
      </c>
      <c r="B8" s="42">
        <v>3</v>
      </c>
      <c r="C8" s="43" t="str">
        <f>'[1]PLAN PLURIANUAL CUATRIANUAL'!F9</f>
        <v>Plan de Ordenamiento Especial para el Centro Historico de Loja</v>
      </c>
      <c r="D8" s="44" t="str">
        <f>'[1]PLAN PLURIANUAL CUATRIANUAL'!G9</f>
        <v>Ciudad de Loja</v>
      </c>
      <c r="E8" s="58" t="s">
        <v>77</v>
      </c>
      <c r="F8" s="46" t="s">
        <v>78</v>
      </c>
      <c r="G8" s="46" t="s">
        <v>79</v>
      </c>
      <c r="H8" s="45" t="s">
        <v>80</v>
      </c>
      <c r="I8" s="45" t="s">
        <v>81</v>
      </c>
      <c r="J8" s="47">
        <v>120000</v>
      </c>
      <c r="K8" s="47"/>
      <c r="L8" s="48" t="s">
        <v>82</v>
      </c>
      <c r="M8" s="49"/>
      <c r="N8" s="49" t="s">
        <v>68</v>
      </c>
      <c r="O8" s="47">
        <f>J8</f>
        <v>120000</v>
      </c>
      <c r="P8" s="47"/>
      <c r="Q8" s="50">
        <f t="shared" si="1"/>
        <v>120000</v>
      </c>
      <c r="R8" s="51"/>
      <c r="S8" s="51"/>
      <c r="T8" s="51"/>
      <c r="U8" s="51"/>
      <c r="V8" s="51"/>
      <c r="W8" s="51"/>
      <c r="X8" s="51">
        <v>120000</v>
      </c>
      <c r="Y8" s="50">
        <f t="shared" si="2"/>
        <v>120000</v>
      </c>
      <c r="Z8" s="52" t="s">
        <v>69</v>
      </c>
      <c r="AA8" s="52" t="str">
        <f t="shared" si="3"/>
        <v>PATRIMONIO CULTURAL Y CENTRO HISTÓRICO</v>
      </c>
      <c r="AB8" s="52" t="s">
        <v>70</v>
      </c>
      <c r="AC8" s="53">
        <v>42186</v>
      </c>
      <c r="AD8" s="53">
        <v>42369</v>
      </c>
      <c r="AE8" s="54" t="s">
        <v>72</v>
      </c>
      <c r="AF8" s="55"/>
      <c r="AG8" s="56"/>
      <c r="AH8" s="56"/>
      <c r="AI8" s="56"/>
      <c r="AJ8" s="56"/>
      <c r="AK8" s="56"/>
      <c r="AL8" s="56"/>
      <c r="AM8" s="56"/>
      <c r="AN8" s="56"/>
      <c r="AO8" s="56"/>
      <c r="AP8" s="56"/>
      <c r="AQ8" s="56"/>
      <c r="AR8" s="56"/>
      <c r="AS8" s="57"/>
    </row>
    <row r="9" spans="1:45" ht="188.25" hidden="1" customHeight="1">
      <c r="A9" s="41" t="str">
        <f>'[1]PLAN PLURIANUAL CUATRIANUAL'!B10</f>
        <v>PATRIMONIO CULTURAL Y CENTRO HISTÓRICO</v>
      </c>
      <c r="B9" s="42">
        <v>4</v>
      </c>
      <c r="C9" s="59" t="s">
        <v>83</v>
      </c>
      <c r="D9" s="44" t="str">
        <f>'[1]PLAN PLURIANUAL CUATRIANUAL'!G10</f>
        <v>Parroquia Malacatos</v>
      </c>
      <c r="E9" s="46" t="s">
        <v>84</v>
      </c>
      <c r="F9" s="46" t="s">
        <v>85</v>
      </c>
      <c r="G9" s="46" t="s">
        <v>86</v>
      </c>
      <c r="H9" s="45" t="s">
        <v>87</v>
      </c>
      <c r="I9" s="45" t="s">
        <v>88</v>
      </c>
      <c r="J9" s="47"/>
      <c r="K9" s="47">
        <v>7000</v>
      </c>
      <c r="L9" s="48" t="s">
        <v>89</v>
      </c>
      <c r="M9" s="49"/>
      <c r="N9" s="49" t="s">
        <v>68</v>
      </c>
      <c r="O9" s="47">
        <f>K9</f>
        <v>7000</v>
      </c>
      <c r="P9" s="47"/>
      <c r="Q9" s="50">
        <f t="shared" si="1"/>
        <v>7000</v>
      </c>
      <c r="R9" s="51">
        <f t="shared" ref="R9:R11" si="4">Q9</f>
        <v>7000</v>
      </c>
      <c r="S9" s="51"/>
      <c r="T9" s="51"/>
      <c r="U9" s="51"/>
      <c r="V9" s="51"/>
      <c r="W9" s="51"/>
      <c r="X9" s="51"/>
      <c r="Y9" s="50">
        <f t="shared" si="2"/>
        <v>7000</v>
      </c>
      <c r="Z9" s="52" t="s">
        <v>69</v>
      </c>
      <c r="AA9" s="52" t="str">
        <f t="shared" si="3"/>
        <v>PATRIMONIO CULTURAL Y CENTRO HISTÓRICO</v>
      </c>
      <c r="AB9" s="52" t="s">
        <v>70</v>
      </c>
      <c r="AC9" s="53">
        <v>42186</v>
      </c>
      <c r="AD9" s="53">
        <v>42308</v>
      </c>
      <c r="AE9" s="54" t="s">
        <v>72</v>
      </c>
      <c r="AF9" s="55"/>
      <c r="AG9" s="56"/>
      <c r="AH9" s="56"/>
      <c r="AI9" s="56"/>
      <c r="AJ9" s="56"/>
      <c r="AK9" s="56"/>
      <c r="AL9" s="56"/>
      <c r="AM9" s="56">
        <v>3500</v>
      </c>
      <c r="AN9" s="56"/>
      <c r="AO9" s="56"/>
      <c r="AP9" s="56">
        <v>3500</v>
      </c>
      <c r="AQ9" s="56"/>
      <c r="AR9" s="56"/>
      <c r="AS9" s="57">
        <f t="shared" si="0"/>
        <v>7000</v>
      </c>
    </row>
    <row r="10" spans="1:45" ht="76.5" hidden="1">
      <c r="A10" s="41" t="str">
        <f>'[1]PLAN PLURIANUAL CUATRIANUAL'!B11</f>
        <v>PATRIMONIO CULTURAL Y CENTRO HISTÓRICO</v>
      </c>
      <c r="B10" s="42">
        <v>5</v>
      </c>
      <c r="C10" s="43" t="str">
        <f>'[1]PLAN PLURIANUAL CUATRIANUAL'!F11</f>
        <v>Actualización del Plan Regulador de la Parroquia Vilcabamba</v>
      </c>
      <c r="D10" s="44" t="str">
        <f>'[1]PLAN PLURIANUAL CUATRIANUAL'!G11</f>
        <v>Parroquia Vilcabamba</v>
      </c>
      <c r="E10" s="46" t="s">
        <v>84</v>
      </c>
      <c r="F10" s="46" t="s">
        <v>90</v>
      </c>
      <c r="G10" s="46" t="s">
        <v>86</v>
      </c>
      <c r="H10" s="45" t="s">
        <v>91</v>
      </c>
      <c r="I10" s="45" t="s">
        <v>92</v>
      </c>
      <c r="J10" s="47"/>
      <c r="K10" s="47">
        <v>7000</v>
      </c>
      <c r="L10" s="48" t="s">
        <v>93</v>
      </c>
      <c r="M10" s="49"/>
      <c r="N10" s="49" t="s">
        <v>68</v>
      </c>
      <c r="O10" s="47">
        <f t="shared" ref="O10:O11" si="5">K10</f>
        <v>7000</v>
      </c>
      <c r="P10" s="47"/>
      <c r="Q10" s="50">
        <f t="shared" si="1"/>
        <v>7000</v>
      </c>
      <c r="R10" s="51">
        <f t="shared" si="4"/>
        <v>7000</v>
      </c>
      <c r="S10" s="51"/>
      <c r="T10" s="51"/>
      <c r="U10" s="51"/>
      <c r="V10" s="51"/>
      <c r="W10" s="51"/>
      <c r="X10" s="51"/>
      <c r="Y10" s="50">
        <f t="shared" si="2"/>
        <v>7000</v>
      </c>
      <c r="Z10" s="52" t="s">
        <v>69</v>
      </c>
      <c r="AA10" s="52" t="str">
        <f t="shared" si="3"/>
        <v>PATRIMONIO CULTURAL Y CENTRO HISTÓRICO</v>
      </c>
      <c r="AB10" s="52" t="s">
        <v>70</v>
      </c>
      <c r="AC10" s="53">
        <v>42186</v>
      </c>
      <c r="AD10" s="53">
        <v>42308</v>
      </c>
      <c r="AE10" s="54" t="s">
        <v>72</v>
      </c>
      <c r="AF10" s="55"/>
      <c r="AG10" s="56"/>
      <c r="AH10" s="56"/>
      <c r="AI10" s="56"/>
      <c r="AJ10" s="56"/>
      <c r="AK10" s="56"/>
      <c r="AL10" s="56"/>
      <c r="AM10" s="56">
        <v>3500</v>
      </c>
      <c r="AN10" s="56"/>
      <c r="AO10" s="56"/>
      <c r="AP10" s="56">
        <v>3500</v>
      </c>
      <c r="AQ10" s="56"/>
      <c r="AR10" s="56"/>
      <c r="AS10" s="57">
        <f t="shared" si="0"/>
        <v>7000</v>
      </c>
    </row>
    <row r="11" spans="1:45" ht="76.5" hidden="1">
      <c r="A11" s="41" t="str">
        <f>'[1]PLAN PLURIANUAL CUATRIANUAL'!B12</f>
        <v>PATRIMONIO CULTURAL Y CENTRO HISTÓRICO</v>
      </c>
      <c r="B11" s="42">
        <v>6</v>
      </c>
      <c r="C11" s="43" t="str">
        <f>'[1]PLAN PLURIANUAL CUATRIANUAL'!F12</f>
        <v>Actualización del Plan Regulador de la Parroquia El Cisne</v>
      </c>
      <c r="D11" s="44" t="str">
        <f>'[1]PLAN PLURIANUAL CUATRIANUAL'!G12</f>
        <v>Parroquia El Cisne</v>
      </c>
      <c r="E11" s="46" t="s">
        <v>84</v>
      </c>
      <c r="F11" s="60" t="s">
        <v>94</v>
      </c>
      <c r="G11" s="46" t="s">
        <v>86</v>
      </c>
      <c r="H11" s="45" t="s">
        <v>95</v>
      </c>
      <c r="I11" s="45" t="s">
        <v>96</v>
      </c>
      <c r="J11" s="47"/>
      <c r="K11" s="47">
        <v>6000</v>
      </c>
      <c r="L11" s="48" t="s">
        <v>93</v>
      </c>
      <c r="M11" s="49"/>
      <c r="N11" s="49" t="s">
        <v>68</v>
      </c>
      <c r="O11" s="47">
        <f t="shared" si="5"/>
        <v>6000</v>
      </c>
      <c r="P11" s="47"/>
      <c r="Q11" s="50">
        <f t="shared" si="1"/>
        <v>6000</v>
      </c>
      <c r="R11" s="51">
        <f t="shared" si="4"/>
        <v>6000</v>
      </c>
      <c r="S11" s="51"/>
      <c r="T11" s="51"/>
      <c r="U11" s="51"/>
      <c r="V11" s="51"/>
      <c r="W11" s="51"/>
      <c r="X11" s="51"/>
      <c r="Y11" s="50">
        <f t="shared" si="2"/>
        <v>6000</v>
      </c>
      <c r="Z11" s="52" t="s">
        <v>69</v>
      </c>
      <c r="AA11" s="52" t="str">
        <f t="shared" si="3"/>
        <v>PATRIMONIO CULTURAL Y CENTRO HISTÓRICO</v>
      </c>
      <c r="AB11" s="52" t="s">
        <v>70</v>
      </c>
      <c r="AC11" s="53">
        <v>42186</v>
      </c>
      <c r="AD11" s="53">
        <v>42308</v>
      </c>
      <c r="AE11" s="54" t="s">
        <v>72</v>
      </c>
      <c r="AF11" s="55"/>
      <c r="AG11" s="56"/>
      <c r="AH11" s="56"/>
      <c r="AI11" s="56"/>
      <c r="AJ11" s="56"/>
      <c r="AK11" s="56"/>
      <c r="AL11" s="56"/>
      <c r="AM11" s="56">
        <v>3000</v>
      </c>
      <c r="AN11" s="56"/>
      <c r="AO11" s="56"/>
      <c r="AP11" s="56">
        <v>3000</v>
      </c>
      <c r="AQ11" s="56"/>
      <c r="AR11" s="56"/>
      <c r="AS11" s="57">
        <f t="shared" si="0"/>
        <v>6000</v>
      </c>
    </row>
    <row r="12" spans="1:45" ht="76.5" hidden="1">
      <c r="A12" s="61" t="s">
        <v>97</v>
      </c>
      <c r="B12" s="62"/>
      <c r="C12" s="63" t="s">
        <v>98</v>
      </c>
      <c r="D12" s="64" t="s">
        <v>99</v>
      </c>
      <c r="E12" s="46"/>
      <c r="F12" s="60"/>
      <c r="G12" s="46"/>
      <c r="H12" s="65"/>
      <c r="I12" s="65"/>
      <c r="J12" s="66"/>
      <c r="K12" s="66">
        <v>7200</v>
      </c>
      <c r="L12" s="67"/>
      <c r="M12" s="68"/>
      <c r="N12" s="68"/>
      <c r="O12" s="66"/>
      <c r="P12" s="66">
        <v>7200</v>
      </c>
      <c r="Q12" s="69">
        <v>7200</v>
      </c>
      <c r="R12" s="70">
        <v>7200</v>
      </c>
      <c r="S12" s="70"/>
      <c r="T12" s="70"/>
      <c r="U12" s="70"/>
      <c r="V12" s="70"/>
      <c r="W12" s="70"/>
      <c r="X12" s="70"/>
      <c r="Y12" s="69">
        <v>7200</v>
      </c>
      <c r="Z12" s="71" t="s">
        <v>69</v>
      </c>
      <c r="AA12" s="71" t="s">
        <v>97</v>
      </c>
      <c r="AB12" s="71" t="s">
        <v>70</v>
      </c>
      <c r="AC12" s="72"/>
      <c r="AD12" s="72"/>
      <c r="AE12" s="73"/>
      <c r="AF12" s="67"/>
      <c r="AG12" s="74"/>
      <c r="AH12" s="74"/>
      <c r="AI12" s="74"/>
      <c r="AJ12" s="74"/>
      <c r="AK12" s="74"/>
      <c r="AL12" s="74"/>
      <c r="AM12" s="74">
        <v>7200</v>
      </c>
      <c r="AN12" s="74"/>
      <c r="AO12" s="74"/>
      <c r="AP12" s="74"/>
      <c r="AQ12" s="74"/>
      <c r="AR12" s="74"/>
      <c r="AS12" s="75">
        <f>SUBTOTAL(9,AG12:AR12)</f>
        <v>0</v>
      </c>
    </row>
    <row r="13" spans="1:45" ht="76.5" hidden="1">
      <c r="A13" s="61" t="s">
        <v>97</v>
      </c>
      <c r="B13" s="62"/>
      <c r="C13" s="63" t="s">
        <v>100</v>
      </c>
      <c r="D13" s="64" t="s">
        <v>99</v>
      </c>
      <c r="E13" s="46"/>
      <c r="F13" s="60"/>
      <c r="G13" s="46"/>
      <c r="H13" s="65"/>
      <c r="I13" s="65"/>
      <c r="J13" s="66"/>
      <c r="K13" s="66">
        <v>2800</v>
      </c>
      <c r="L13" s="67"/>
      <c r="M13" s="68"/>
      <c r="N13" s="68"/>
      <c r="O13" s="66"/>
      <c r="P13" s="66">
        <v>2800</v>
      </c>
      <c r="Q13" s="69">
        <v>2800</v>
      </c>
      <c r="R13" s="70">
        <v>2800</v>
      </c>
      <c r="S13" s="70"/>
      <c r="T13" s="70"/>
      <c r="U13" s="70"/>
      <c r="V13" s="70"/>
      <c r="W13" s="70"/>
      <c r="X13" s="70"/>
      <c r="Y13" s="69">
        <v>2800</v>
      </c>
      <c r="Z13" s="71" t="s">
        <v>69</v>
      </c>
      <c r="AA13" s="71" t="s">
        <v>97</v>
      </c>
      <c r="AB13" s="71" t="s">
        <v>70</v>
      </c>
      <c r="AC13" s="72"/>
      <c r="AD13" s="72"/>
      <c r="AE13" s="73"/>
      <c r="AF13" s="67"/>
      <c r="AG13" s="74"/>
      <c r="AH13" s="74"/>
      <c r="AI13" s="74"/>
      <c r="AJ13" s="74"/>
      <c r="AK13" s="74"/>
      <c r="AL13" s="74"/>
      <c r="AM13" s="74">
        <v>2800</v>
      </c>
      <c r="AN13" s="74"/>
      <c r="AO13" s="74"/>
      <c r="AP13" s="74"/>
      <c r="AQ13" s="74"/>
      <c r="AR13" s="74"/>
      <c r="AS13" s="75">
        <f>SUBTOTAL(9,AG13:AR13)</f>
        <v>0</v>
      </c>
    </row>
    <row r="14" spans="1:45" ht="76.5" hidden="1">
      <c r="A14" s="61" t="s">
        <v>97</v>
      </c>
      <c r="B14" s="62">
        <v>8</v>
      </c>
      <c r="C14" s="63" t="s">
        <v>101</v>
      </c>
      <c r="D14" s="64" t="s">
        <v>102</v>
      </c>
      <c r="E14" s="46" t="s">
        <v>103</v>
      </c>
      <c r="F14" s="60" t="s">
        <v>104</v>
      </c>
      <c r="G14" s="46" t="s">
        <v>105</v>
      </c>
      <c r="H14" s="65" t="s">
        <v>106</v>
      </c>
      <c r="I14" s="65" t="s">
        <v>107</v>
      </c>
      <c r="J14" s="66"/>
      <c r="K14" s="66">
        <v>20000</v>
      </c>
      <c r="L14" s="67" t="s">
        <v>108</v>
      </c>
      <c r="M14" s="68"/>
      <c r="N14" s="68" t="s">
        <v>68</v>
      </c>
      <c r="O14" s="66"/>
      <c r="P14" s="66">
        <v>20000</v>
      </c>
      <c r="Q14" s="69">
        <v>20000</v>
      </c>
      <c r="R14" s="70">
        <v>10000</v>
      </c>
      <c r="S14" s="70"/>
      <c r="T14" s="70">
        <v>10000</v>
      </c>
      <c r="U14" s="70"/>
      <c r="V14" s="70"/>
      <c r="W14" s="70"/>
      <c r="X14" s="70"/>
      <c r="Y14" s="69">
        <v>20000</v>
      </c>
      <c r="Z14" s="71" t="s">
        <v>69</v>
      </c>
      <c r="AA14" s="71" t="s">
        <v>97</v>
      </c>
      <c r="AB14" s="71" t="s">
        <v>70</v>
      </c>
      <c r="AC14" s="72">
        <v>42248</v>
      </c>
      <c r="AD14" s="72">
        <v>42308</v>
      </c>
      <c r="AE14" s="73" t="s">
        <v>72</v>
      </c>
      <c r="AF14" s="76"/>
      <c r="AG14" s="74"/>
      <c r="AH14" s="74"/>
      <c r="AI14" s="74"/>
      <c r="AJ14" s="74"/>
      <c r="AK14" s="74"/>
      <c r="AL14" s="74"/>
      <c r="AM14" s="74"/>
      <c r="AN14" s="74"/>
      <c r="AO14" s="74">
        <v>5000</v>
      </c>
      <c r="AP14" s="74">
        <v>5000</v>
      </c>
      <c r="AQ14" s="74"/>
      <c r="AR14" s="74"/>
      <c r="AS14" s="75">
        <v>10000</v>
      </c>
    </row>
    <row r="15" spans="1:45" ht="76.5" hidden="1">
      <c r="A15" s="61" t="s">
        <v>97</v>
      </c>
      <c r="B15" s="62">
        <v>9</v>
      </c>
      <c r="C15" s="63" t="s">
        <v>109</v>
      </c>
      <c r="D15" s="64" t="s">
        <v>110</v>
      </c>
      <c r="E15" s="46" t="s">
        <v>111</v>
      </c>
      <c r="F15" s="60" t="s">
        <v>104</v>
      </c>
      <c r="G15" s="46" t="s">
        <v>112</v>
      </c>
      <c r="H15" s="65" t="s">
        <v>106</v>
      </c>
      <c r="I15" s="65" t="s">
        <v>113</v>
      </c>
      <c r="J15" s="66"/>
      <c r="K15" s="66">
        <v>120000</v>
      </c>
      <c r="L15" s="67" t="s">
        <v>108</v>
      </c>
      <c r="M15" s="68" t="s">
        <v>114</v>
      </c>
      <c r="N15" s="68"/>
      <c r="O15" s="66"/>
      <c r="P15" s="66">
        <v>120000</v>
      </c>
      <c r="Q15" s="69">
        <v>120000</v>
      </c>
      <c r="R15" s="70">
        <v>60000</v>
      </c>
      <c r="S15" s="70"/>
      <c r="T15" s="70">
        <v>60000</v>
      </c>
      <c r="U15" s="70"/>
      <c r="V15" s="70"/>
      <c r="W15" s="70"/>
      <c r="X15" s="70"/>
      <c r="Y15" s="69">
        <v>120000</v>
      </c>
      <c r="Z15" s="71" t="s">
        <v>69</v>
      </c>
      <c r="AA15" s="71" t="s">
        <v>97</v>
      </c>
      <c r="AB15" s="71" t="s">
        <v>70</v>
      </c>
      <c r="AC15" s="72">
        <v>42186</v>
      </c>
      <c r="AD15" s="72">
        <v>42308</v>
      </c>
      <c r="AE15" s="73" t="s">
        <v>72</v>
      </c>
      <c r="AF15" s="76"/>
      <c r="AG15" s="74"/>
      <c r="AH15" s="74"/>
      <c r="AI15" s="74"/>
      <c r="AJ15" s="74"/>
      <c r="AK15" s="74"/>
      <c r="AL15" s="74"/>
      <c r="AM15" s="74">
        <v>30000</v>
      </c>
      <c r="AN15" s="74">
        <v>10000</v>
      </c>
      <c r="AO15" s="74">
        <v>10000</v>
      </c>
      <c r="AP15" s="74">
        <v>10000</v>
      </c>
      <c r="AQ15" s="74"/>
      <c r="AR15" s="74"/>
      <c r="AS15" s="75">
        <v>60000</v>
      </c>
    </row>
    <row r="16" spans="1:45" ht="76.5" hidden="1">
      <c r="A16" s="61" t="s">
        <v>97</v>
      </c>
      <c r="B16" s="62">
        <v>10</v>
      </c>
      <c r="C16" s="63" t="s">
        <v>115</v>
      </c>
      <c r="D16" s="64" t="s">
        <v>116</v>
      </c>
      <c r="E16" s="46" t="s">
        <v>117</v>
      </c>
      <c r="F16" s="60" t="s">
        <v>118</v>
      </c>
      <c r="G16" s="46" t="s">
        <v>119</v>
      </c>
      <c r="H16" s="65" t="s">
        <v>120</v>
      </c>
      <c r="I16" s="65" t="s">
        <v>121</v>
      </c>
      <c r="J16" s="66"/>
      <c r="K16" s="66">
        <v>40000</v>
      </c>
      <c r="L16" s="67" t="s">
        <v>108</v>
      </c>
      <c r="M16" s="68"/>
      <c r="N16" s="68" t="s">
        <v>68</v>
      </c>
      <c r="O16" s="66"/>
      <c r="P16" s="66">
        <v>40000</v>
      </c>
      <c r="Q16" s="69">
        <v>40000</v>
      </c>
      <c r="R16" s="70">
        <v>28000</v>
      </c>
      <c r="S16" s="70"/>
      <c r="T16" s="70">
        <v>12000</v>
      </c>
      <c r="U16" s="70"/>
      <c r="V16" s="70"/>
      <c r="W16" s="70"/>
      <c r="X16" s="70"/>
      <c r="Y16" s="69">
        <v>40000</v>
      </c>
      <c r="Z16" s="71" t="s">
        <v>69</v>
      </c>
      <c r="AA16" s="71" t="s">
        <v>97</v>
      </c>
      <c r="AB16" s="71" t="s">
        <v>70</v>
      </c>
      <c r="AC16" s="72">
        <v>42095</v>
      </c>
      <c r="AD16" s="72">
        <v>42155</v>
      </c>
      <c r="AE16" s="73" t="s">
        <v>72</v>
      </c>
      <c r="AF16" s="76"/>
      <c r="AG16" s="74"/>
      <c r="AH16" s="74"/>
      <c r="AI16" s="74"/>
      <c r="AJ16" s="74">
        <v>14000</v>
      </c>
      <c r="AK16" s="74">
        <v>14000</v>
      </c>
      <c r="AL16" s="74"/>
      <c r="AM16" s="74"/>
      <c r="AN16" s="74"/>
      <c r="AO16" s="74"/>
      <c r="AP16" s="74"/>
      <c r="AQ16" s="74"/>
      <c r="AR16" s="74"/>
      <c r="AS16" s="75">
        <v>28000</v>
      </c>
    </row>
    <row r="17" spans="1:45" hidden="1">
      <c r="A17" s="77"/>
      <c r="B17" s="78"/>
      <c r="C17" s="79"/>
      <c r="D17" s="80"/>
      <c r="E17" s="81"/>
      <c r="F17" s="82"/>
      <c r="G17" s="81"/>
      <c r="H17" s="83"/>
      <c r="I17" s="83"/>
      <c r="J17" s="84">
        <f>SUM(J6:J16)</f>
        <v>289428.43</v>
      </c>
      <c r="K17" s="84">
        <f>SUM(K6:K16)</f>
        <v>210000</v>
      </c>
      <c r="L17" s="85"/>
      <c r="M17" s="86"/>
      <c r="N17" s="86"/>
      <c r="O17" s="87">
        <f>SUM(O6:O16)</f>
        <v>140000</v>
      </c>
      <c r="P17" s="87">
        <f t="shared" ref="P17:AF17" si="6">SUM(P6:P16)</f>
        <v>359428.43</v>
      </c>
      <c r="Q17" s="87">
        <f t="shared" si="6"/>
        <v>499428.43</v>
      </c>
      <c r="R17" s="87">
        <f t="shared" si="6"/>
        <v>297428.43</v>
      </c>
      <c r="S17" s="87">
        <f t="shared" si="6"/>
        <v>0</v>
      </c>
      <c r="T17" s="87">
        <f t="shared" si="6"/>
        <v>82000</v>
      </c>
      <c r="U17" s="87">
        <f t="shared" si="6"/>
        <v>0</v>
      </c>
      <c r="V17" s="87">
        <f t="shared" si="6"/>
        <v>0</v>
      </c>
      <c r="W17" s="87">
        <f t="shared" si="6"/>
        <v>0</v>
      </c>
      <c r="X17" s="87">
        <f t="shared" si="6"/>
        <v>120000</v>
      </c>
      <c r="Y17" s="87">
        <f>SUM(Y6:Y16)</f>
        <v>499428.43</v>
      </c>
      <c r="Z17" s="87">
        <f t="shared" si="6"/>
        <v>0</v>
      </c>
      <c r="AA17" s="87">
        <f t="shared" si="6"/>
        <v>0</v>
      </c>
      <c r="AB17" s="87">
        <f t="shared" si="6"/>
        <v>0</v>
      </c>
      <c r="AC17" s="87"/>
      <c r="AD17" s="87"/>
      <c r="AE17" s="87">
        <f t="shared" si="6"/>
        <v>0</v>
      </c>
      <c r="AF17" s="87">
        <f t="shared" si="6"/>
        <v>0</v>
      </c>
      <c r="AG17" s="87">
        <f>SUM(AG6:AG16)</f>
        <v>0</v>
      </c>
      <c r="AH17" s="87">
        <f t="shared" ref="AH17:AR17" si="7">SUM(AH6:AH16)</f>
        <v>0</v>
      </c>
      <c r="AI17" s="87">
        <f t="shared" si="7"/>
        <v>0</v>
      </c>
      <c r="AJ17" s="87">
        <f t="shared" si="7"/>
        <v>51500</v>
      </c>
      <c r="AK17" s="87">
        <f t="shared" si="7"/>
        <v>34000</v>
      </c>
      <c r="AL17" s="87">
        <f t="shared" si="7"/>
        <v>17500</v>
      </c>
      <c r="AM17" s="87">
        <f t="shared" si="7"/>
        <v>90000</v>
      </c>
      <c r="AN17" s="87">
        <f t="shared" si="7"/>
        <v>20000</v>
      </c>
      <c r="AO17" s="87">
        <f t="shared" si="7"/>
        <v>25000</v>
      </c>
      <c r="AP17" s="87">
        <f t="shared" si="7"/>
        <v>35000</v>
      </c>
      <c r="AQ17" s="87">
        <f t="shared" si="7"/>
        <v>10000</v>
      </c>
      <c r="AR17" s="87">
        <f t="shared" si="7"/>
        <v>14428.43</v>
      </c>
      <c r="AS17" s="87">
        <f>SUM(AS6:AS16)</f>
        <v>287428.43</v>
      </c>
    </row>
    <row r="18" spans="1:45" ht="89.25" hidden="1">
      <c r="A18" s="88" t="s">
        <v>122</v>
      </c>
      <c r="B18" s="62">
        <v>1</v>
      </c>
      <c r="C18" s="89" t="s">
        <v>123</v>
      </c>
      <c r="D18" s="90" t="s">
        <v>124</v>
      </c>
      <c r="E18" s="91" t="s">
        <v>125</v>
      </c>
      <c r="F18" s="92" t="s">
        <v>126</v>
      </c>
      <c r="G18" s="92" t="s">
        <v>127</v>
      </c>
      <c r="H18" s="91" t="s">
        <v>128</v>
      </c>
      <c r="I18" s="91" t="s">
        <v>129</v>
      </c>
      <c r="J18" s="66">
        <v>48935</v>
      </c>
      <c r="K18" s="66"/>
      <c r="L18" s="67" t="s">
        <v>130</v>
      </c>
      <c r="M18" s="68" t="s">
        <v>68</v>
      </c>
      <c r="N18" s="68"/>
      <c r="O18" s="66"/>
      <c r="P18" s="66">
        <v>48935</v>
      </c>
      <c r="Q18" s="69">
        <v>48935</v>
      </c>
      <c r="R18" s="70">
        <v>48935</v>
      </c>
      <c r="S18" s="70"/>
      <c r="T18" s="70"/>
      <c r="U18" s="70"/>
      <c r="V18" s="70"/>
      <c r="W18" s="70"/>
      <c r="X18" s="70"/>
      <c r="Y18" s="69">
        <f t="shared" ref="Y18:Y65" si="8">SUM(R18:X18)</f>
        <v>48935</v>
      </c>
      <c r="Z18" s="71" t="s">
        <v>131</v>
      </c>
      <c r="AA18" s="71" t="s">
        <v>132</v>
      </c>
      <c r="AB18" s="71" t="s">
        <v>133</v>
      </c>
      <c r="AC18" s="72">
        <v>42036</v>
      </c>
      <c r="AD18" s="72">
        <v>42216</v>
      </c>
      <c r="AE18" s="73" t="s">
        <v>72</v>
      </c>
      <c r="AF18" s="76"/>
      <c r="AG18" s="74"/>
      <c r="AH18" s="74">
        <v>20000</v>
      </c>
      <c r="AI18" s="74"/>
      <c r="AJ18" s="74"/>
      <c r="AK18" s="74"/>
      <c r="AL18" s="74"/>
      <c r="AM18" s="74">
        <v>28935</v>
      </c>
      <c r="AN18" s="74"/>
      <c r="AO18" s="74"/>
      <c r="AP18" s="74"/>
      <c r="AQ18" s="74"/>
      <c r="AR18" s="74"/>
      <c r="AS18" s="75">
        <v>48935</v>
      </c>
    </row>
    <row r="19" spans="1:45" hidden="1">
      <c r="A19" s="77"/>
      <c r="B19" s="78"/>
      <c r="C19" s="93"/>
      <c r="D19" s="94"/>
      <c r="E19" s="95"/>
      <c r="F19" s="96"/>
      <c r="G19" s="96"/>
      <c r="H19" s="95"/>
      <c r="I19" s="95"/>
      <c r="J19" s="84">
        <f>SUM(J18)</f>
        <v>48935</v>
      </c>
      <c r="K19" s="84">
        <f>SUM(K18)</f>
        <v>0</v>
      </c>
      <c r="L19" s="85"/>
      <c r="M19" s="86"/>
      <c r="N19" s="86"/>
      <c r="O19" s="87">
        <f>SUM(O18)</f>
        <v>0</v>
      </c>
      <c r="P19" s="87">
        <f t="shared" ref="P19:AS19" si="9">SUM(P18)</f>
        <v>48935</v>
      </c>
      <c r="Q19" s="87">
        <f t="shared" si="9"/>
        <v>48935</v>
      </c>
      <c r="R19" s="87">
        <f t="shared" si="9"/>
        <v>48935</v>
      </c>
      <c r="S19" s="87">
        <f t="shared" si="9"/>
        <v>0</v>
      </c>
      <c r="T19" s="87">
        <f t="shared" si="9"/>
        <v>0</v>
      </c>
      <c r="U19" s="87">
        <f t="shared" si="9"/>
        <v>0</v>
      </c>
      <c r="V19" s="87">
        <f>SUM(V18)</f>
        <v>0</v>
      </c>
      <c r="W19" s="87">
        <f t="shared" si="9"/>
        <v>0</v>
      </c>
      <c r="X19" s="87">
        <f t="shared" si="9"/>
        <v>0</v>
      </c>
      <c r="Y19" s="87">
        <f t="shared" si="9"/>
        <v>48935</v>
      </c>
      <c r="Z19" s="87">
        <f t="shared" si="9"/>
        <v>0</v>
      </c>
      <c r="AA19" s="87">
        <f t="shared" si="9"/>
        <v>0</v>
      </c>
      <c r="AB19" s="87">
        <f t="shared" si="9"/>
        <v>0</v>
      </c>
      <c r="AC19" s="87">
        <f t="shared" si="9"/>
        <v>42036</v>
      </c>
      <c r="AD19" s="87">
        <f t="shared" si="9"/>
        <v>42216</v>
      </c>
      <c r="AE19" s="87">
        <f t="shared" si="9"/>
        <v>0</v>
      </c>
      <c r="AF19" s="87">
        <f t="shared" si="9"/>
        <v>0</v>
      </c>
      <c r="AG19" s="87">
        <f t="shared" si="9"/>
        <v>0</v>
      </c>
      <c r="AH19" s="87">
        <f t="shared" si="9"/>
        <v>20000</v>
      </c>
      <c r="AI19" s="87">
        <f t="shared" si="9"/>
        <v>0</v>
      </c>
      <c r="AJ19" s="87">
        <f t="shared" si="9"/>
        <v>0</v>
      </c>
      <c r="AK19" s="87">
        <f t="shared" si="9"/>
        <v>0</v>
      </c>
      <c r="AL19" s="87">
        <f t="shared" si="9"/>
        <v>0</v>
      </c>
      <c r="AM19" s="87">
        <f t="shared" si="9"/>
        <v>28935</v>
      </c>
      <c r="AN19" s="87">
        <f t="shared" si="9"/>
        <v>0</v>
      </c>
      <c r="AO19" s="87">
        <f t="shared" si="9"/>
        <v>0</v>
      </c>
      <c r="AP19" s="87">
        <f t="shared" si="9"/>
        <v>0</v>
      </c>
      <c r="AQ19" s="87">
        <f t="shared" si="9"/>
        <v>0</v>
      </c>
      <c r="AR19" s="87">
        <f t="shared" si="9"/>
        <v>0</v>
      </c>
      <c r="AS19" s="87">
        <f t="shared" si="9"/>
        <v>48935</v>
      </c>
    </row>
    <row r="20" spans="1:45" ht="63.75" hidden="1">
      <c r="A20" s="88" t="s">
        <v>134</v>
      </c>
      <c r="B20" s="62">
        <v>1</v>
      </c>
      <c r="C20" s="63" t="s">
        <v>135</v>
      </c>
      <c r="D20" s="64" t="s">
        <v>136</v>
      </c>
      <c r="E20" s="65" t="s">
        <v>137</v>
      </c>
      <c r="F20" s="46" t="s">
        <v>138</v>
      </c>
      <c r="G20" s="46" t="s">
        <v>139</v>
      </c>
      <c r="H20" s="65" t="s">
        <v>140</v>
      </c>
      <c r="I20" s="65" t="s">
        <v>141</v>
      </c>
      <c r="J20" s="66">
        <v>95000</v>
      </c>
      <c r="K20" s="66"/>
      <c r="L20" s="67" t="s">
        <v>142</v>
      </c>
      <c r="M20" s="68" t="s">
        <v>68</v>
      </c>
      <c r="N20" s="68"/>
      <c r="O20" s="66"/>
      <c r="P20" s="66">
        <v>95000</v>
      </c>
      <c r="Q20" s="69">
        <f t="shared" ref="Q20:Q25" si="10">SUM(O20:P20)</f>
        <v>95000</v>
      </c>
      <c r="R20" s="70">
        <v>95000</v>
      </c>
      <c r="S20" s="70"/>
      <c r="T20" s="70">
        <v>0</v>
      </c>
      <c r="U20" s="70"/>
      <c r="V20" s="70"/>
      <c r="W20" s="70"/>
      <c r="X20" s="70"/>
      <c r="Y20" s="69">
        <f t="shared" si="8"/>
        <v>95000</v>
      </c>
      <c r="Z20" s="71" t="s">
        <v>143</v>
      </c>
      <c r="AA20" s="71" t="s">
        <v>144</v>
      </c>
      <c r="AB20" s="71" t="s">
        <v>145</v>
      </c>
      <c r="AC20" s="72">
        <v>42065</v>
      </c>
      <c r="AD20" s="72">
        <v>42216</v>
      </c>
      <c r="AE20" s="73" t="s">
        <v>72</v>
      </c>
      <c r="AF20" s="76"/>
      <c r="AG20" s="74"/>
      <c r="AH20" s="74"/>
      <c r="AI20" s="74">
        <v>47500</v>
      </c>
      <c r="AJ20" s="74"/>
      <c r="AK20" s="74"/>
      <c r="AL20" s="74"/>
      <c r="AM20" s="74">
        <v>47500</v>
      </c>
      <c r="AN20" s="74"/>
      <c r="AO20" s="74"/>
      <c r="AP20" s="74"/>
      <c r="AQ20" s="74"/>
      <c r="AR20" s="74"/>
      <c r="AS20" s="75">
        <f t="shared" ref="AS20:AS25" si="11">SUM(AG20:AR20)</f>
        <v>95000</v>
      </c>
    </row>
    <row r="21" spans="1:45" ht="76.5" hidden="1">
      <c r="A21" s="88" t="s">
        <v>134</v>
      </c>
      <c r="B21" s="62">
        <v>2</v>
      </c>
      <c r="C21" s="63" t="s">
        <v>146</v>
      </c>
      <c r="D21" s="64" t="s">
        <v>147</v>
      </c>
      <c r="E21" s="46" t="s">
        <v>148</v>
      </c>
      <c r="F21" s="46" t="s">
        <v>149</v>
      </c>
      <c r="G21" s="46" t="s">
        <v>150</v>
      </c>
      <c r="H21" s="46" t="s">
        <v>151</v>
      </c>
      <c r="I21" s="46" t="s">
        <v>152</v>
      </c>
      <c r="J21" s="66">
        <v>15000</v>
      </c>
      <c r="K21" s="66">
        <v>0</v>
      </c>
      <c r="L21" s="67" t="s">
        <v>142</v>
      </c>
      <c r="M21" s="68" t="s">
        <v>68</v>
      </c>
      <c r="N21" s="68"/>
      <c r="O21" s="66"/>
      <c r="P21" s="66">
        <v>15000</v>
      </c>
      <c r="Q21" s="69">
        <f t="shared" si="10"/>
        <v>15000</v>
      </c>
      <c r="R21" s="70">
        <v>15000</v>
      </c>
      <c r="S21" s="70"/>
      <c r="T21" s="70">
        <v>0</v>
      </c>
      <c r="U21" s="70"/>
      <c r="V21" s="70"/>
      <c r="W21" s="70"/>
      <c r="X21" s="70"/>
      <c r="Y21" s="69">
        <f t="shared" si="8"/>
        <v>15000</v>
      </c>
      <c r="Z21" s="71" t="s">
        <v>143</v>
      </c>
      <c r="AA21" s="71" t="s">
        <v>144</v>
      </c>
      <c r="AB21" s="71" t="s">
        <v>145</v>
      </c>
      <c r="AC21" s="72">
        <v>42079</v>
      </c>
      <c r="AD21" s="72">
        <v>42110</v>
      </c>
      <c r="AE21" s="97" t="s">
        <v>153</v>
      </c>
      <c r="AF21" s="76"/>
      <c r="AG21" s="74"/>
      <c r="AH21" s="74"/>
      <c r="AI21" s="74">
        <v>7500</v>
      </c>
      <c r="AJ21" s="74">
        <v>7500</v>
      </c>
      <c r="AK21" s="74"/>
      <c r="AL21" s="74"/>
      <c r="AM21" s="74"/>
      <c r="AN21" s="74"/>
      <c r="AO21" s="74"/>
      <c r="AP21" s="74"/>
      <c r="AQ21" s="74"/>
      <c r="AR21" s="74"/>
      <c r="AS21" s="75">
        <f t="shared" si="11"/>
        <v>15000</v>
      </c>
    </row>
    <row r="22" spans="1:45" ht="63.75" hidden="1">
      <c r="A22" s="88" t="s">
        <v>134</v>
      </c>
      <c r="B22" s="62">
        <v>3</v>
      </c>
      <c r="C22" s="59" t="s">
        <v>154</v>
      </c>
      <c r="D22" s="98" t="s">
        <v>155</v>
      </c>
      <c r="E22" s="46" t="s">
        <v>156</v>
      </c>
      <c r="F22" s="46" t="s">
        <v>157</v>
      </c>
      <c r="G22" s="46" t="s">
        <v>158</v>
      </c>
      <c r="H22" s="65" t="s">
        <v>159</v>
      </c>
      <c r="I22" s="65" t="s">
        <v>160</v>
      </c>
      <c r="J22" s="66">
        <v>16285.62</v>
      </c>
      <c r="K22" s="66"/>
      <c r="L22" s="67" t="s">
        <v>142</v>
      </c>
      <c r="M22" s="68" t="s">
        <v>68</v>
      </c>
      <c r="N22" s="68"/>
      <c r="O22" s="66"/>
      <c r="P22" s="66">
        <v>16285.62</v>
      </c>
      <c r="Q22" s="69">
        <f t="shared" si="10"/>
        <v>16285.62</v>
      </c>
      <c r="R22" s="70">
        <v>16285.62</v>
      </c>
      <c r="S22" s="70"/>
      <c r="T22" s="70"/>
      <c r="U22" s="70"/>
      <c r="V22" s="70">
        <v>0</v>
      </c>
      <c r="W22" s="70"/>
      <c r="X22" s="70"/>
      <c r="Y22" s="69">
        <f t="shared" si="8"/>
        <v>16285.62</v>
      </c>
      <c r="Z22" s="71" t="s">
        <v>143</v>
      </c>
      <c r="AA22" s="71" t="s">
        <v>144</v>
      </c>
      <c r="AB22" s="71" t="s">
        <v>145</v>
      </c>
      <c r="AC22" s="72">
        <v>42065</v>
      </c>
      <c r="AD22" s="72">
        <v>42157</v>
      </c>
      <c r="AE22" s="73" t="s">
        <v>72</v>
      </c>
      <c r="AF22" s="76"/>
      <c r="AG22" s="74"/>
      <c r="AH22" s="74"/>
      <c r="AI22" s="74">
        <v>8142.81</v>
      </c>
      <c r="AJ22" s="74"/>
      <c r="AK22" s="74"/>
      <c r="AL22" s="74">
        <v>8142.81</v>
      </c>
      <c r="AM22" s="74"/>
      <c r="AN22" s="74"/>
      <c r="AO22" s="74"/>
      <c r="AP22" s="74"/>
      <c r="AQ22" s="74"/>
      <c r="AR22" s="74"/>
      <c r="AS22" s="75">
        <f t="shared" si="11"/>
        <v>16285.62</v>
      </c>
    </row>
    <row r="23" spans="1:45" ht="63.75" hidden="1">
      <c r="A23" s="88" t="s">
        <v>134</v>
      </c>
      <c r="B23" s="62">
        <v>4</v>
      </c>
      <c r="C23" s="99" t="s">
        <v>161</v>
      </c>
      <c r="D23" s="99" t="s">
        <v>162</v>
      </c>
      <c r="E23" s="46" t="s">
        <v>163</v>
      </c>
      <c r="F23" s="46" t="s">
        <v>164</v>
      </c>
      <c r="G23" s="46" t="s">
        <v>165</v>
      </c>
      <c r="H23" s="46" t="s">
        <v>166</v>
      </c>
      <c r="I23" s="65" t="s">
        <v>167</v>
      </c>
      <c r="J23" s="66">
        <f>13500.08+4400</f>
        <v>17900.080000000002</v>
      </c>
      <c r="K23" s="66"/>
      <c r="L23" s="67" t="s">
        <v>142</v>
      </c>
      <c r="M23" s="68" t="s">
        <v>68</v>
      </c>
      <c r="N23" s="68"/>
      <c r="O23" s="66"/>
      <c r="P23" s="66">
        <f>13500.08+4400</f>
        <v>17900.080000000002</v>
      </c>
      <c r="Q23" s="69">
        <f t="shared" si="10"/>
        <v>17900.080000000002</v>
      </c>
      <c r="R23" s="70">
        <f>13500.08+4400</f>
        <v>17900.080000000002</v>
      </c>
      <c r="S23" s="70"/>
      <c r="T23" s="70"/>
      <c r="U23" s="70"/>
      <c r="V23" s="70"/>
      <c r="W23" s="70"/>
      <c r="X23" s="70"/>
      <c r="Y23" s="69">
        <f t="shared" si="8"/>
        <v>17900.080000000002</v>
      </c>
      <c r="Z23" s="71" t="s">
        <v>143</v>
      </c>
      <c r="AA23" s="71" t="s">
        <v>168</v>
      </c>
      <c r="AB23" s="71" t="s">
        <v>169</v>
      </c>
      <c r="AC23" s="72">
        <v>42065</v>
      </c>
      <c r="AD23" s="72">
        <v>42126</v>
      </c>
      <c r="AE23" s="73" t="s">
        <v>153</v>
      </c>
      <c r="AF23" s="76"/>
      <c r="AG23" s="74"/>
      <c r="AH23" s="74"/>
      <c r="AI23" s="74">
        <v>8950.0400000000009</v>
      </c>
      <c r="AJ23" s="74"/>
      <c r="AK23" s="74">
        <v>8950.0400000000009</v>
      </c>
      <c r="AL23" s="74"/>
      <c r="AM23" s="74"/>
      <c r="AN23" s="74"/>
      <c r="AO23" s="74"/>
      <c r="AP23" s="74"/>
      <c r="AQ23" s="74"/>
      <c r="AR23" s="74"/>
      <c r="AS23" s="75">
        <f t="shared" si="11"/>
        <v>17900.080000000002</v>
      </c>
    </row>
    <row r="24" spans="1:45" ht="63.75" hidden="1">
      <c r="A24" s="88" t="s">
        <v>134</v>
      </c>
      <c r="B24" s="62">
        <v>5</v>
      </c>
      <c r="C24" s="99" t="s">
        <v>170</v>
      </c>
      <c r="D24" s="99" t="s">
        <v>162</v>
      </c>
      <c r="E24" s="46" t="s">
        <v>171</v>
      </c>
      <c r="F24" s="46" t="s">
        <v>172</v>
      </c>
      <c r="G24" s="46" t="s">
        <v>173</v>
      </c>
      <c r="H24" s="46" t="s">
        <v>174</v>
      </c>
      <c r="I24" s="65" t="s">
        <v>175</v>
      </c>
      <c r="J24" s="66">
        <v>55000</v>
      </c>
      <c r="K24" s="66"/>
      <c r="L24" s="67" t="s">
        <v>176</v>
      </c>
      <c r="M24" s="68" t="s">
        <v>68</v>
      </c>
      <c r="N24" s="68"/>
      <c r="O24" s="66"/>
      <c r="P24" s="66">
        <v>55000</v>
      </c>
      <c r="Q24" s="69">
        <f t="shared" si="10"/>
        <v>55000</v>
      </c>
      <c r="R24" s="70">
        <v>55000</v>
      </c>
      <c r="S24" s="70"/>
      <c r="T24" s="70"/>
      <c r="U24" s="70"/>
      <c r="V24" s="70"/>
      <c r="W24" s="70"/>
      <c r="X24" s="70"/>
      <c r="Y24" s="69">
        <f t="shared" si="8"/>
        <v>55000</v>
      </c>
      <c r="Z24" s="71" t="s">
        <v>143</v>
      </c>
      <c r="AA24" s="71" t="s">
        <v>177</v>
      </c>
      <c r="AB24" s="71" t="s">
        <v>178</v>
      </c>
      <c r="AC24" s="72">
        <v>42065</v>
      </c>
      <c r="AD24" s="72">
        <v>42126</v>
      </c>
      <c r="AE24" s="73" t="s">
        <v>72</v>
      </c>
      <c r="AF24" s="76"/>
      <c r="AG24" s="74"/>
      <c r="AH24" s="74"/>
      <c r="AI24" s="74">
        <v>27500</v>
      </c>
      <c r="AJ24" s="74"/>
      <c r="AK24" s="74">
        <v>27500</v>
      </c>
      <c r="AL24" s="74"/>
      <c r="AM24" s="74"/>
      <c r="AN24" s="74"/>
      <c r="AO24" s="74"/>
      <c r="AP24" s="74"/>
      <c r="AQ24" s="74"/>
      <c r="AR24" s="74"/>
      <c r="AS24" s="75">
        <f t="shared" si="11"/>
        <v>55000</v>
      </c>
    </row>
    <row r="25" spans="1:45" ht="63.75" hidden="1">
      <c r="A25" s="88" t="s">
        <v>134</v>
      </c>
      <c r="B25" s="62">
        <v>6</v>
      </c>
      <c r="C25" s="99" t="s">
        <v>179</v>
      </c>
      <c r="D25" s="99" t="s">
        <v>162</v>
      </c>
      <c r="E25" s="46" t="s">
        <v>180</v>
      </c>
      <c r="F25" s="46" t="s">
        <v>181</v>
      </c>
      <c r="G25" s="46" t="s">
        <v>182</v>
      </c>
      <c r="H25" s="46" t="s">
        <v>183</v>
      </c>
      <c r="I25" s="65" t="s">
        <v>184</v>
      </c>
      <c r="J25" s="66">
        <v>5397</v>
      </c>
      <c r="K25" s="66"/>
      <c r="L25" s="67" t="s">
        <v>185</v>
      </c>
      <c r="M25" s="68" t="s">
        <v>68</v>
      </c>
      <c r="N25" s="68"/>
      <c r="O25" s="66"/>
      <c r="P25" s="66">
        <v>5397</v>
      </c>
      <c r="Q25" s="69">
        <f t="shared" si="10"/>
        <v>5397</v>
      </c>
      <c r="R25" s="70">
        <v>5397</v>
      </c>
      <c r="S25" s="70"/>
      <c r="T25" s="70"/>
      <c r="U25" s="70"/>
      <c r="V25" s="70"/>
      <c r="W25" s="70"/>
      <c r="X25" s="70"/>
      <c r="Y25" s="69">
        <f t="shared" si="8"/>
        <v>5397</v>
      </c>
      <c r="Z25" s="71" t="s">
        <v>143</v>
      </c>
      <c r="AA25" s="71" t="s">
        <v>177</v>
      </c>
      <c r="AB25" s="71" t="s">
        <v>178</v>
      </c>
      <c r="AC25" s="72">
        <v>42065</v>
      </c>
      <c r="AD25" s="72">
        <v>42096</v>
      </c>
      <c r="AE25" s="73" t="s">
        <v>153</v>
      </c>
      <c r="AF25" s="76"/>
      <c r="AG25" s="74"/>
      <c r="AH25" s="74"/>
      <c r="AI25" s="74">
        <v>5397</v>
      </c>
      <c r="AJ25" s="74"/>
      <c r="AK25" s="74"/>
      <c r="AL25" s="74"/>
      <c r="AM25" s="74"/>
      <c r="AN25" s="74"/>
      <c r="AO25" s="74"/>
      <c r="AP25" s="74"/>
      <c r="AQ25" s="74"/>
      <c r="AR25" s="74"/>
      <c r="AS25" s="75">
        <f t="shared" si="11"/>
        <v>5397</v>
      </c>
    </row>
    <row r="26" spans="1:45" ht="89.25" hidden="1">
      <c r="A26" s="88" t="s">
        <v>134</v>
      </c>
      <c r="B26" s="62">
        <v>7</v>
      </c>
      <c r="C26" s="99" t="s">
        <v>186</v>
      </c>
      <c r="D26" s="99" t="s">
        <v>136</v>
      </c>
      <c r="E26" s="46" t="s">
        <v>187</v>
      </c>
      <c r="F26" s="46" t="s">
        <v>188</v>
      </c>
      <c r="G26" s="46" t="s">
        <v>189</v>
      </c>
      <c r="H26" s="46" t="s">
        <v>190</v>
      </c>
      <c r="I26" s="65" t="s">
        <v>191</v>
      </c>
      <c r="J26" s="66">
        <v>534274.92000000004</v>
      </c>
      <c r="K26" s="66"/>
      <c r="L26" s="67" t="s">
        <v>142</v>
      </c>
      <c r="M26" s="68" t="s">
        <v>114</v>
      </c>
      <c r="N26" s="68"/>
      <c r="O26" s="66"/>
      <c r="P26" s="66">
        <v>534274.92000000004</v>
      </c>
      <c r="Q26" s="69">
        <v>534274.92000000004</v>
      </c>
      <c r="R26" s="70">
        <v>534274.92000000004</v>
      </c>
      <c r="S26" s="70"/>
      <c r="T26" s="70"/>
      <c r="U26" s="70"/>
      <c r="V26" s="70"/>
      <c r="W26" s="70"/>
      <c r="X26" s="70"/>
      <c r="Y26" s="69">
        <v>534274.92000000004</v>
      </c>
      <c r="Z26" s="71" t="s">
        <v>192</v>
      </c>
      <c r="AA26" s="71" t="s">
        <v>193</v>
      </c>
      <c r="AB26" s="71" t="s">
        <v>194</v>
      </c>
      <c r="AC26" s="72">
        <v>42079</v>
      </c>
      <c r="AD26" s="72">
        <v>42140</v>
      </c>
      <c r="AE26" s="73" t="s">
        <v>72</v>
      </c>
      <c r="AF26" s="76"/>
      <c r="AG26" s="74"/>
      <c r="AH26" s="74">
        <v>267137.46000000002</v>
      </c>
      <c r="AI26" s="74"/>
      <c r="AJ26" s="74"/>
      <c r="AK26" s="74">
        <v>267137.46000000002</v>
      </c>
      <c r="AL26" s="74"/>
      <c r="AM26" s="74"/>
      <c r="AN26" s="74"/>
      <c r="AO26" s="74"/>
      <c r="AP26" s="74"/>
      <c r="AQ26" s="74"/>
      <c r="AR26" s="74"/>
      <c r="AS26" s="75">
        <v>534274.92000000004</v>
      </c>
    </row>
    <row r="27" spans="1:45" ht="76.5" hidden="1">
      <c r="A27" s="88" t="s">
        <v>134</v>
      </c>
      <c r="B27" s="62">
        <v>8</v>
      </c>
      <c r="C27" s="99" t="s">
        <v>195</v>
      </c>
      <c r="D27" s="99" t="s">
        <v>196</v>
      </c>
      <c r="E27" s="46" t="s">
        <v>197</v>
      </c>
      <c r="F27" s="46" t="s">
        <v>198</v>
      </c>
      <c r="G27" s="46" t="s">
        <v>199</v>
      </c>
      <c r="H27" s="46" t="s">
        <v>200</v>
      </c>
      <c r="I27" s="65" t="s">
        <v>201</v>
      </c>
      <c r="J27" s="66">
        <v>132000</v>
      </c>
      <c r="K27" s="66">
        <v>0</v>
      </c>
      <c r="L27" s="67" t="s">
        <v>142</v>
      </c>
      <c r="M27" s="68" t="s">
        <v>114</v>
      </c>
      <c r="N27" s="68"/>
      <c r="O27" s="66"/>
      <c r="P27" s="66">
        <v>132000</v>
      </c>
      <c r="Q27" s="69">
        <v>132000</v>
      </c>
      <c r="R27" s="70">
        <v>132000</v>
      </c>
      <c r="S27" s="70"/>
      <c r="T27" s="70">
        <v>0</v>
      </c>
      <c r="U27" s="70"/>
      <c r="V27" s="70"/>
      <c r="W27" s="70"/>
      <c r="X27" s="70"/>
      <c r="Y27" s="69">
        <v>132000</v>
      </c>
      <c r="Z27" s="71" t="s">
        <v>192</v>
      </c>
      <c r="AA27" s="71" t="s">
        <v>202</v>
      </c>
      <c r="AB27" s="71" t="s">
        <v>145</v>
      </c>
      <c r="AC27" s="72">
        <v>42065</v>
      </c>
      <c r="AD27" s="72" t="s">
        <v>203</v>
      </c>
      <c r="AE27" s="73" t="s">
        <v>72</v>
      </c>
      <c r="AF27" s="76"/>
      <c r="AG27" s="74"/>
      <c r="AH27" s="74"/>
      <c r="AI27" s="74">
        <v>22000</v>
      </c>
      <c r="AJ27" s="74">
        <v>22000</v>
      </c>
      <c r="AK27" s="74"/>
      <c r="AL27" s="74"/>
      <c r="AM27" s="74">
        <v>22000</v>
      </c>
      <c r="AN27" s="74">
        <v>22000</v>
      </c>
      <c r="AO27" s="74"/>
      <c r="AP27" s="74">
        <v>22000</v>
      </c>
      <c r="AQ27" s="74">
        <v>22000</v>
      </c>
      <c r="AR27" s="74"/>
      <c r="AS27" s="75">
        <v>132000</v>
      </c>
    </row>
    <row r="28" spans="1:45" hidden="1">
      <c r="A28" s="100"/>
      <c r="B28" s="100"/>
      <c r="C28" s="100"/>
      <c r="D28" s="100"/>
      <c r="E28" s="100"/>
      <c r="F28" s="100"/>
      <c r="G28" s="100"/>
      <c r="H28" s="100"/>
      <c r="I28" s="100"/>
      <c r="J28" s="101">
        <f>SUM(J20:J27)</f>
        <v>870857.62000000011</v>
      </c>
      <c r="K28" s="101">
        <f t="shared" ref="K28" si="12">SUM(K20:K27)</f>
        <v>0</v>
      </c>
      <c r="L28" s="101"/>
      <c r="M28" s="101"/>
      <c r="N28" s="101"/>
      <c r="O28" s="101">
        <f t="shared" ref="O28" si="13">SUM(O20:O25)</f>
        <v>0</v>
      </c>
      <c r="P28" s="101">
        <f>SUM(P20:P27)</f>
        <v>870857.62000000011</v>
      </c>
      <c r="Q28" s="101">
        <f t="shared" ref="Q28:AR28" si="14">SUM(Q20:Q27)</f>
        <v>870857.62000000011</v>
      </c>
      <c r="R28" s="101">
        <f t="shared" si="14"/>
        <v>870857.62000000011</v>
      </c>
      <c r="S28" s="101">
        <f t="shared" si="14"/>
        <v>0</v>
      </c>
      <c r="T28" s="101">
        <f t="shared" si="14"/>
        <v>0</v>
      </c>
      <c r="U28" s="101">
        <f t="shared" si="14"/>
        <v>0</v>
      </c>
      <c r="V28" s="101">
        <f t="shared" si="14"/>
        <v>0</v>
      </c>
      <c r="W28" s="101">
        <f t="shared" si="14"/>
        <v>0</v>
      </c>
      <c r="X28" s="101">
        <f t="shared" si="14"/>
        <v>0</v>
      </c>
      <c r="Y28" s="101">
        <f t="shared" si="14"/>
        <v>870857.62000000011</v>
      </c>
      <c r="Z28" s="101">
        <f t="shared" si="14"/>
        <v>0</v>
      </c>
      <c r="AA28" s="101">
        <f t="shared" si="14"/>
        <v>0</v>
      </c>
      <c r="AB28" s="101">
        <f t="shared" si="14"/>
        <v>0</v>
      </c>
      <c r="AC28" s="101"/>
      <c r="AD28" s="101"/>
      <c r="AE28" s="101">
        <f t="shared" si="14"/>
        <v>0</v>
      </c>
      <c r="AF28" s="101">
        <f t="shared" si="14"/>
        <v>0</v>
      </c>
      <c r="AG28" s="101">
        <f t="shared" si="14"/>
        <v>0</v>
      </c>
      <c r="AH28" s="101">
        <f t="shared" si="14"/>
        <v>267137.46000000002</v>
      </c>
      <c r="AI28" s="101">
        <f t="shared" si="14"/>
        <v>126989.85</v>
      </c>
      <c r="AJ28" s="101">
        <f t="shared" si="14"/>
        <v>29500</v>
      </c>
      <c r="AK28" s="101">
        <f t="shared" si="14"/>
        <v>303587.5</v>
      </c>
      <c r="AL28" s="101">
        <f t="shared" si="14"/>
        <v>8142.81</v>
      </c>
      <c r="AM28" s="101">
        <f t="shared" si="14"/>
        <v>69500</v>
      </c>
      <c r="AN28" s="101">
        <f t="shared" si="14"/>
        <v>22000</v>
      </c>
      <c r="AO28" s="101">
        <f t="shared" si="14"/>
        <v>0</v>
      </c>
      <c r="AP28" s="101">
        <f t="shared" si="14"/>
        <v>22000</v>
      </c>
      <c r="AQ28" s="101">
        <f t="shared" si="14"/>
        <v>22000</v>
      </c>
      <c r="AR28" s="101">
        <f t="shared" si="14"/>
        <v>0</v>
      </c>
      <c r="AS28" s="101">
        <f>SUM(AS20:AS27)</f>
        <v>870857.62000000011</v>
      </c>
    </row>
    <row r="29" spans="1:45" ht="76.5" hidden="1">
      <c r="A29" s="88" t="s">
        <v>204</v>
      </c>
      <c r="B29" s="62">
        <v>1</v>
      </c>
      <c r="C29" s="63" t="s">
        <v>205</v>
      </c>
      <c r="D29" s="64" t="s">
        <v>206</v>
      </c>
      <c r="E29" s="65" t="s">
        <v>207</v>
      </c>
      <c r="F29" s="46" t="s">
        <v>208</v>
      </c>
      <c r="G29" s="46" t="s">
        <v>209</v>
      </c>
      <c r="H29" s="65" t="s">
        <v>210</v>
      </c>
      <c r="I29" s="65" t="s">
        <v>211</v>
      </c>
      <c r="J29" s="66">
        <v>20000</v>
      </c>
      <c r="K29" s="66" t="s">
        <v>212</v>
      </c>
      <c r="L29" s="67" t="s">
        <v>213</v>
      </c>
      <c r="M29" s="68" t="s">
        <v>68</v>
      </c>
      <c r="N29" s="68"/>
      <c r="O29" s="66"/>
      <c r="P29" s="66">
        <v>20000</v>
      </c>
      <c r="Q29" s="69">
        <f>SUM(O29:P29)</f>
        <v>20000</v>
      </c>
      <c r="R29" s="70">
        <v>20000</v>
      </c>
      <c r="S29" s="70"/>
      <c r="T29" s="70" t="s">
        <v>212</v>
      </c>
      <c r="U29" s="70"/>
      <c r="V29" s="70"/>
      <c r="W29" s="70"/>
      <c r="X29" s="70"/>
      <c r="Y29" s="69">
        <f t="shared" si="8"/>
        <v>20000</v>
      </c>
      <c r="Z29" s="71" t="s">
        <v>214</v>
      </c>
      <c r="AA29" s="71" t="s">
        <v>215</v>
      </c>
      <c r="AB29" s="71" t="s">
        <v>216</v>
      </c>
      <c r="AC29" s="72">
        <v>42065</v>
      </c>
      <c r="AD29" s="72" t="s">
        <v>217</v>
      </c>
      <c r="AE29" s="97" t="s">
        <v>218</v>
      </c>
      <c r="AF29" s="76"/>
      <c r="AG29" s="74">
        <v>0</v>
      </c>
      <c r="AH29" s="74">
        <v>0</v>
      </c>
      <c r="AI29" s="74">
        <v>4000</v>
      </c>
      <c r="AJ29" s="74">
        <v>3000</v>
      </c>
      <c r="AK29" s="74">
        <v>3000</v>
      </c>
      <c r="AL29" s="74">
        <v>3000</v>
      </c>
      <c r="AM29" s="74">
        <v>3000</v>
      </c>
      <c r="AN29" s="74">
        <v>2000</v>
      </c>
      <c r="AO29" s="74">
        <v>2000</v>
      </c>
      <c r="AP29" s="74">
        <v>0</v>
      </c>
      <c r="AQ29" s="74">
        <v>0</v>
      </c>
      <c r="AR29" s="74">
        <v>0</v>
      </c>
      <c r="AS29" s="75">
        <f>SUM(AG29:AR29)</f>
        <v>20000</v>
      </c>
    </row>
    <row r="30" spans="1:45" ht="102" hidden="1">
      <c r="A30" s="88" t="s">
        <v>204</v>
      </c>
      <c r="B30" s="62">
        <v>2</v>
      </c>
      <c r="C30" s="63" t="s">
        <v>219</v>
      </c>
      <c r="D30" s="64" t="s">
        <v>206</v>
      </c>
      <c r="E30" s="46" t="s">
        <v>220</v>
      </c>
      <c r="F30" s="46" t="s">
        <v>221</v>
      </c>
      <c r="G30" s="46" t="s">
        <v>222</v>
      </c>
      <c r="H30" s="46" t="s">
        <v>223</v>
      </c>
      <c r="I30" s="65" t="s">
        <v>224</v>
      </c>
      <c r="J30" s="66">
        <v>20000</v>
      </c>
      <c r="K30" s="66" t="s">
        <v>212</v>
      </c>
      <c r="L30" s="67" t="s">
        <v>213</v>
      </c>
      <c r="M30" s="68" t="s">
        <v>68</v>
      </c>
      <c r="N30" s="68"/>
      <c r="O30" s="66"/>
      <c r="P30" s="66">
        <v>20000</v>
      </c>
      <c r="Q30" s="69">
        <v>20000</v>
      </c>
      <c r="R30" s="70">
        <v>20000</v>
      </c>
      <c r="S30" s="70"/>
      <c r="T30" s="70" t="s">
        <v>212</v>
      </c>
      <c r="U30" s="70"/>
      <c r="V30" s="70"/>
      <c r="W30" s="70"/>
      <c r="X30" s="70"/>
      <c r="Y30" s="69">
        <f t="shared" si="8"/>
        <v>20000</v>
      </c>
      <c r="Z30" s="71" t="s">
        <v>214</v>
      </c>
      <c r="AA30" s="71" t="s">
        <v>215</v>
      </c>
      <c r="AB30" s="71" t="s">
        <v>216</v>
      </c>
      <c r="AC30" s="72">
        <v>42099</v>
      </c>
      <c r="AD30" s="72" t="s">
        <v>225</v>
      </c>
      <c r="AE30" s="97" t="s">
        <v>218</v>
      </c>
      <c r="AF30" s="76"/>
      <c r="AG30" s="74"/>
      <c r="AH30" s="74" t="s">
        <v>212</v>
      </c>
      <c r="AI30" s="74" t="s">
        <v>212</v>
      </c>
      <c r="AJ30" s="74">
        <v>20000</v>
      </c>
      <c r="AK30" s="74" t="s">
        <v>212</v>
      </c>
      <c r="AL30" s="74" t="s">
        <v>212</v>
      </c>
      <c r="AM30" s="74" t="s">
        <v>212</v>
      </c>
      <c r="AN30" s="74"/>
      <c r="AO30" s="74"/>
      <c r="AP30" s="74"/>
      <c r="AQ30" s="74"/>
      <c r="AR30" s="74"/>
      <c r="AS30" s="75">
        <f>SUM(AG30:AR30)</f>
        <v>20000</v>
      </c>
    </row>
    <row r="31" spans="1:45" ht="89.25" hidden="1">
      <c r="A31" s="88" t="s">
        <v>204</v>
      </c>
      <c r="B31" s="62">
        <v>3</v>
      </c>
      <c r="C31" s="63" t="s">
        <v>226</v>
      </c>
      <c r="D31" s="63" t="s">
        <v>206</v>
      </c>
      <c r="E31" s="63" t="s">
        <v>227</v>
      </c>
      <c r="F31" s="63" t="s">
        <v>228</v>
      </c>
      <c r="G31" s="63" t="s">
        <v>229</v>
      </c>
      <c r="H31" s="63" t="s">
        <v>230</v>
      </c>
      <c r="I31" s="63" t="s">
        <v>231</v>
      </c>
      <c r="J31" s="66">
        <v>10000</v>
      </c>
      <c r="K31" s="66"/>
      <c r="L31" s="67" t="s">
        <v>213</v>
      </c>
      <c r="M31" s="68" t="s">
        <v>68</v>
      </c>
      <c r="N31" s="68" t="s">
        <v>212</v>
      </c>
      <c r="O31" s="66"/>
      <c r="P31" s="66">
        <v>10000</v>
      </c>
      <c r="Q31" s="69">
        <v>10000</v>
      </c>
      <c r="R31" s="70">
        <v>10000</v>
      </c>
      <c r="S31" s="70"/>
      <c r="T31" s="70"/>
      <c r="U31" s="70"/>
      <c r="V31" s="70"/>
      <c r="W31" s="70"/>
      <c r="X31" s="70"/>
      <c r="Y31" s="69">
        <f t="shared" si="8"/>
        <v>10000</v>
      </c>
      <c r="Z31" s="71" t="s">
        <v>214</v>
      </c>
      <c r="AA31" s="71" t="s">
        <v>215</v>
      </c>
      <c r="AB31" s="71" t="s">
        <v>216</v>
      </c>
      <c r="AC31" s="72">
        <v>42095</v>
      </c>
      <c r="AD31" s="72" t="s">
        <v>225</v>
      </c>
      <c r="AE31" s="97" t="s">
        <v>218</v>
      </c>
      <c r="AF31" s="76"/>
      <c r="AG31" s="74"/>
      <c r="AH31" s="74"/>
      <c r="AI31" s="74"/>
      <c r="AJ31" s="74" t="s">
        <v>212</v>
      </c>
      <c r="AK31" s="74">
        <v>10000</v>
      </c>
      <c r="AL31" s="74"/>
      <c r="AM31" s="74" t="s">
        <v>212</v>
      </c>
      <c r="AN31" s="74"/>
      <c r="AO31" s="74"/>
      <c r="AP31" s="74"/>
      <c r="AQ31" s="74"/>
      <c r="AR31" s="74"/>
      <c r="AS31" s="75">
        <f>SUM(AG31:AR31)</f>
        <v>10000</v>
      </c>
    </row>
    <row r="32" spans="1:45" hidden="1">
      <c r="A32" s="100"/>
      <c r="B32" s="100"/>
      <c r="C32" s="100"/>
      <c r="D32" s="100"/>
      <c r="E32" s="100"/>
      <c r="F32" s="100"/>
      <c r="G32" s="100"/>
      <c r="H32" s="100"/>
      <c r="I32" s="100"/>
      <c r="J32" s="101">
        <f>SUM(J29:J31)</f>
        <v>50000</v>
      </c>
      <c r="K32" s="101">
        <f>SUM(K29:K31)</f>
        <v>0</v>
      </c>
      <c r="L32" s="101" t="s">
        <v>212</v>
      </c>
      <c r="M32" s="101"/>
      <c r="N32" s="101"/>
      <c r="O32" s="101">
        <f>SUM(O29:O31)</f>
        <v>0</v>
      </c>
      <c r="P32" s="101">
        <f t="shared" ref="P32:Y32" si="15">SUM(P29:P31)</f>
        <v>50000</v>
      </c>
      <c r="Q32" s="101">
        <f t="shared" si="15"/>
        <v>50000</v>
      </c>
      <c r="R32" s="101">
        <f t="shared" si="15"/>
        <v>50000</v>
      </c>
      <c r="S32" s="101">
        <f t="shared" si="15"/>
        <v>0</v>
      </c>
      <c r="T32" s="101">
        <f t="shared" si="15"/>
        <v>0</v>
      </c>
      <c r="U32" s="101">
        <f t="shared" si="15"/>
        <v>0</v>
      </c>
      <c r="V32" s="101">
        <f t="shared" si="15"/>
        <v>0</v>
      </c>
      <c r="W32" s="101">
        <f t="shared" si="15"/>
        <v>0</v>
      </c>
      <c r="X32" s="101">
        <f t="shared" si="15"/>
        <v>0</v>
      </c>
      <c r="Y32" s="101">
        <f t="shared" si="15"/>
        <v>50000</v>
      </c>
      <c r="Z32" s="101"/>
      <c r="AA32" s="101"/>
      <c r="AB32" s="101"/>
      <c r="AC32" s="101"/>
      <c r="AD32" s="101"/>
      <c r="AE32" s="101"/>
      <c r="AF32" s="101"/>
      <c r="AG32" s="101">
        <f t="shared" ref="AG32:AR32" si="16">SUM(AG29:AG31)</f>
        <v>0</v>
      </c>
      <c r="AH32" s="101">
        <f t="shared" si="16"/>
        <v>0</v>
      </c>
      <c r="AI32" s="101">
        <f t="shared" si="16"/>
        <v>4000</v>
      </c>
      <c r="AJ32" s="101">
        <f t="shared" si="16"/>
        <v>23000</v>
      </c>
      <c r="AK32" s="101">
        <f t="shared" si="16"/>
        <v>13000</v>
      </c>
      <c r="AL32" s="101">
        <f t="shared" si="16"/>
        <v>3000</v>
      </c>
      <c r="AM32" s="101">
        <f t="shared" si="16"/>
        <v>3000</v>
      </c>
      <c r="AN32" s="101">
        <f t="shared" si="16"/>
        <v>2000</v>
      </c>
      <c r="AO32" s="101">
        <f t="shared" si="16"/>
        <v>2000</v>
      </c>
      <c r="AP32" s="101">
        <f t="shared" si="16"/>
        <v>0</v>
      </c>
      <c r="AQ32" s="101">
        <f t="shared" si="16"/>
        <v>0</v>
      </c>
      <c r="AR32" s="101">
        <f t="shared" si="16"/>
        <v>0</v>
      </c>
      <c r="AS32" s="101">
        <f>SUM(AS29:AS31)</f>
        <v>50000</v>
      </c>
    </row>
    <row r="33" spans="1:46" ht="89.25" hidden="1" customHeight="1">
      <c r="A33" s="102" t="s">
        <v>232</v>
      </c>
      <c r="B33" s="62">
        <v>1</v>
      </c>
      <c r="C33" s="103" t="s">
        <v>233</v>
      </c>
      <c r="D33" s="104" t="s">
        <v>162</v>
      </c>
      <c r="E33" s="105" t="s">
        <v>234</v>
      </c>
      <c r="F33" s="105" t="s">
        <v>235</v>
      </c>
      <c r="G33" s="105" t="s">
        <v>236</v>
      </c>
      <c r="H33" s="105" t="s">
        <v>237</v>
      </c>
      <c r="I33" s="105" t="s">
        <v>238</v>
      </c>
      <c r="J33" s="66">
        <v>43000</v>
      </c>
      <c r="K33" s="66" t="s">
        <v>239</v>
      </c>
      <c r="L33" s="67" t="s">
        <v>240</v>
      </c>
      <c r="M33" s="68" t="s">
        <v>68</v>
      </c>
      <c r="N33" s="68" t="s">
        <v>239</v>
      </c>
      <c r="O33" s="66" t="s">
        <v>239</v>
      </c>
      <c r="P33" s="66">
        <v>43000</v>
      </c>
      <c r="Q33" s="69">
        <v>43000</v>
      </c>
      <c r="R33" s="70">
        <v>43000</v>
      </c>
      <c r="S33" s="70" t="s">
        <v>239</v>
      </c>
      <c r="T33" s="70" t="s">
        <v>239</v>
      </c>
      <c r="U33" s="70" t="s">
        <v>239</v>
      </c>
      <c r="V33" s="70" t="s">
        <v>239</v>
      </c>
      <c r="W33" s="70" t="s">
        <v>239</v>
      </c>
      <c r="X33" s="70" t="s">
        <v>239</v>
      </c>
      <c r="Y33" s="69">
        <f t="shared" si="8"/>
        <v>43000</v>
      </c>
      <c r="Z33" s="71" t="s">
        <v>241</v>
      </c>
      <c r="AA33" s="71" t="s">
        <v>241</v>
      </c>
      <c r="AB33" s="71" t="s">
        <v>242</v>
      </c>
      <c r="AC33" s="72">
        <v>42065</v>
      </c>
      <c r="AD33" s="72">
        <v>42185</v>
      </c>
      <c r="AE33" s="97" t="s">
        <v>72</v>
      </c>
      <c r="AF33" s="76" t="s">
        <v>239</v>
      </c>
      <c r="AG33" s="74" t="s">
        <v>239</v>
      </c>
      <c r="AH33" s="74" t="s">
        <v>239</v>
      </c>
      <c r="AI33" s="74">
        <v>21500</v>
      </c>
      <c r="AJ33" s="74" t="s">
        <v>239</v>
      </c>
      <c r="AK33" s="74" t="s">
        <v>239</v>
      </c>
      <c r="AL33" s="74">
        <v>21500</v>
      </c>
      <c r="AM33" s="74" t="s">
        <v>239</v>
      </c>
      <c r="AN33" s="74" t="s">
        <v>239</v>
      </c>
      <c r="AO33" s="74" t="s">
        <v>239</v>
      </c>
      <c r="AP33" s="74" t="s">
        <v>239</v>
      </c>
      <c r="AQ33" s="74" t="s">
        <v>239</v>
      </c>
      <c r="AR33" s="74" t="s">
        <v>239</v>
      </c>
      <c r="AS33" s="75">
        <f>SUM(AG33:AR33)</f>
        <v>43000</v>
      </c>
    </row>
    <row r="34" spans="1:46" ht="114.75" hidden="1">
      <c r="A34" s="102" t="s">
        <v>232</v>
      </c>
      <c r="B34" s="62">
        <v>2</v>
      </c>
      <c r="C34" s="103" t="s">
        <v>243</v>
      </c>
      <c r="D34" s="106" t="s">
        <v>162</v>
      </c>
      <c r="E34" s="107" t="s">
        <v>244</v>
      </c>
      <c r="F34" s="107" t="s">
        <v>245</v>
      </c>
      <c r="G34" s="107" t="s">
        <v>246</v>
      </c>
      <c r="H34" s="107" t="s">
        <v>247</v>
      </c>
      <c r="I34" s="107" t="s">
        <v>248</v>
      </c>
      <c r="J34" s="66">
        <v>3500</v>
      </c>
      <c r="K34" s="66" t="s">
        <v>239</v>
      </c>
      <c r="L34" s="67" t="s">
        <v>249</v>
      </c>
      <c r="M34" s="68" t="s">
        <v>68</v>
      </c>
      <c r="N34" s="68" t="s">
        <v>239</v>
      </c>
      <c r="O34" s="66" t="s">
        <v>239</v>
      </c>
      <c r="P34" s="66">
        <v>3500</v>
      </c>
      <c r="Q34" s="69">
        <v>3500</v>
      </c>
      <c r="R34" s="70">
        <v>3500</v>
      </c>
      <c r="S34" s="70" t="s">
        <v>239</v>
      </c>
      <c r="T34" s="70" t="s">
        <v>239</v>
      </c>
      <c r="U34" s="70" t="s">
        <v>239</v>
      </c>
      <c r="V34" s="70" t="s">
        <v>239</v>
      </c>
      <c r="W34" s="70" t="s">
        <v>239</v>
      </c>
      <c r="X34" s="70" t="s">
        <v>239</v>
      </c>
      <c r="Y34" s="69">
        <f t="shared" si="8"/>
        <v>3500</v>
      </c>
      <c r="Z34" s="71" t="s">
        <v>241</v>
      </c>
      <c r="AA34" s="71" t="s">
        <v>241</v>
      </c>
      <c r="AB34" s="71" t="s">
        <v>242</v>
      </c>
      <c r="AC34" s="72">
        <v>42065</v>
      </c>
      <c r="AD34" s="72">
        <v>42216</v>
      </c>
      <c r="AE34" s="97" t="s">
        <v>72</v>
      </c>
      <c r="AF34" s="76" t="s">
        <v>239</v>
      </c>
      <c r="AG34" s="74" t="s">
        <v>239</v>
      </c>
      <c r="AH34" s="74" t="s">
        <v>239</v>
      </c>
      <c r="AI34" s="74">
        <v>1750</v>
      </c>
      <c r="AJ34" s="74" t="s">
        <v>239</v>
      </c>
      <c r="AK34" s="74" t="s">
        <v>239</v>
      </c>
      <c r="AL34" s="74" t="s">
        <v>239</v>
      </c>
      <c r="AM34" s="74">
        <v>1750</v>
      </c>
      <c r="AN34" s="74" t="s">
        <v>239</v>
      </c>
      <c r="AO34" s="74" t="s">
        <v>239</v>
      </c>
      <c r="AP34" s="74" t="s">
        <v>239</v>
      </c>
      <c r="AQ34" s="74" t="s">
        <v>239</v>
      </c>
      <c r="AR34" s="74" t="s">
        <v>239</v>
      </c>
      <c r="AS34" s="75">
        <f>SUM(AG34:AR34)</f>
        <v>3500</v>
      </c>
    </row>
    <row r="35" spans="1:46" ht="76.5" hidden="1">
      <c r="A35" s="102" t="s">
        <v>232</v>
      </c>
      <c r="B35" s="62">
        <v>3</v>
      </c>
      <c r="C35" s="103" t="s">
        <v>250</v>
      </c>
      <c r="D35" s="104" t="s">
        <v>162</v>
      </c>
      <c r="E35" s="105" t="s">
        <v>251</v>
      </c>
      <c r="F35" s="105" t="s">
        <v>252</v>
      </c>
      <c r="G35" s="105" t="s">
        <v>253</v>
      </c>
      <c r="H35" s="105" t="s">
        <v>254</v>
      </c>
      <c r="I35" s="105" t="s">
        <v>255</v>
      </c>
      <c r="J35" s="66">
        <v>3500</v>
      </c>
      <c r="K35" s="66" t="s">
        <v>239</v>
      </c>
      <c r="L35" s="67" t="s">
        <v>256</v>
      </c>
      <c r="M35" s="68" t="s">
        <v>68</v>
      </c>
      <c r="N35" s="68" t="s">
        <v>239</v>
      </c>
      <c r="O35" s="66" t="s">
        <v>239</v>
      </c>
      <c r="P35" s="66">
        <v>3500</v>
      </c>
      <c r="Q35" s="69">
        <v>3500</v>
      </c>
      <c r="R35" s="70">
        <v>3500</v>
      </c>
      <c r="S35" s="70" t="s">
        <v>239</v>
      </c>
      <c r="T35" s="70" t="s">
        <v>239</v>
      </c>
      <c r="U35" s="70" t="s">
        <v>239</v>
      </c>
      <c r="V35" s="70" t="s">
        <v>239</v>
      </c>
      <c r="W35" s="70" t="s">
        <v>239</v>
      </c>
      <c r="X35" s="70" t="s">
        <v>239</v>
      </c>
      <c r="Y35" s="69">
        <f t="shared" si="8"/>
        <v>3500</v>
      </c>
      <c r="Z35" s="71" t="s">
        <v>241</v>
      </c>
      <c r="AA35" s="71" t="s">
        <v>241</v>
      </c>
      <c r="AB35" s="71" t="s">
        <v>257</v>
      </c>
      <c r="AC35" s="72">
        <v>42065</v>
      </c>
      <c r="AD35" s="72">
        <v>41759</v>
      </c>
      <c r="AE35" s="97" t="s">
        <v>72</v>
      </c>
      <c r="AF35" s="76" t="s">
        <v>239</v>
      </c>
      <c r="AG35" s="74" t="s">
        <v>239</v>
      </c>
      <c r="AH35" s="74" t="s">
        <v>239</v>
      </c>
      <c r="AI35" s="74">
        <v>1750</v>
      </c>
      <c r="AJ35" s="74">
        <v>1750</v>
      </c>
      <c r="AK35" s="74" t="s">
        <v>239</v>
      </c>
      <c r="AL35" s="74" t="s">
        <v>239</v>
      </c>
      <c r="AM35" s="74" t="s">
        <v>239</v>
      </c>
      <c r="AN35" s="74" t="s">
        <v>239</v>
      </c>
      <c r="AO35" s="74" t="s">
        <v>239</v>
      </c>
      <c r="AP35" s="74" t="s">
        <v>239</v>
      </c>
      <c r="AQ35" s="74" t="s">
        <v>239</v>
      </c>
      <c r="AR35" s="74" t="s">
        <v>239</v>
      </c>
      <c r="AS35" s="75">
        <f>SUM(AG35:AR35)</f>
        <v>3500</v>
      </c>
    </row>
    <row r="36" spans="1:46" hidden="1">
      <c r="A36" s="108"/>
      <c r="B36" s="78"/>
      <c r="C36" s="109"/>
      <c r="D36" s="110"/>
      <c r="E36" s="111"/>
      <c r="F36" s="111"/>
      <c r="G36" s="111"/>
      <c r="H36" s="111"/>
      <c r="I36" s="111"/>
      <c r="J36" s="87">
        <f>SUM(J33:J35)</f>
        <v>50000</v>
      </c>
      <c r="K36" s="87">
        <f t="shared" ref="K36:AR36" si="17">SUM(K33:K35)</f>
        <v>0</v>
      </c>
      <c r="L36" s="87">
        <f t="shared" si="17"/>
        <v>0</v>
      </c>
      <c r="M36" s="87">
        <f t="shared" si="17"/>
        <v>0</v>
      </c>
      <c r="N36" s="87">
        <f t="shared" si="17"/>
        <v>0</v>
      </c>
      <c r="O36" s="87">
        <f t="shared" si="17"/>
        <v>0</v>
      </c>
      <c r="P36" s="87">
        <f t="shared" si="17"/>
        <v>50000</v>
      </c>
      <c r="Q36" s="87">
        <f t="shared" si="17"/>
        <v>50000</v>
      </c>
      <c r="R36" s="87">
        <f t="shared" si="17"/>
        <v>50000</v>
      </c>
      <c r="S36" s="87">
        <f t="shared" si="17"/>
        <v>0</v>
      </c>
      <c r="T36" s="87">
        <f t="shared" si="17"/>
        <v>0</v>
      </c>
      <c r="U36" s="87">
        <f t="shared" si="17"/>
        <v>0</v>
      </c>
      <c r="V36" s="87">
        <f t="shared" si="17"/>
        <v>0</v>
      </c>
      <c r="W36" s="87">
        <f t="shared" si="17"/>
        <v>0</v>
      </c>
      <c r="X36" s="87">
        <f t="shared" si="17"/>
        <v>0</v>
      </c>
      <c r="Y36" s="87">
        <f t="shared" si="17"/>
        <v>50000</v>
      </c>
      <c r="Z36" s="87">
        <f t="shared" si="17"/>
        <v>0</v>
      </c>
      <c r="AA36" s="87">
        <f t="shared" si="17"/>
        <v>0</v>
      </c>
      <c r="AB36" s="87">
        <f t="shared" si="17"/>
        <v>0</v>
      </c>
      <c r="AC36" s="87"/>
      <c r="AD36" s="87"/>
      <c r="AE36" s="87">
        <f t="shared" si="17"/>
        <v>0</v>
      </c>
      <c r="AF36" s="87">
        <f t="shared" si="17"/>
        <v>0</v>
      </c>
      <c r="AG36" s="87">
        <f t="shared" si="17"/>
        <v>0</v>
      </c>
      <c r="AH36" s="87">
        <f t="shared" si="17"/>
        <v>0</v>
      </c>
      <c r="AI36" s="87">
        <f t="shared" si="17"/>
        <v>25000</v>
      </c>
      <c r="AJ36" s="87">
        <f t="shared" si="17"/>
        <v>1750</v>
      </c>
      <c r="AK36" s="87">
        <f t="shared" si="17"/>
        <v>0</v>
      </c>
      <c r="AL36" s="87">
        <f t="shared" si="17"/>
        <v>21500</v>
      </c>
      <c r="AM36" s="87">
        <f t="shared" si="17"/>
        <v>1750</v>
      </c>
      <c r="AN36" s="87">
        <f t="shared" si="17"/>
        <v>0</v>
      </c>
      <c r="AO36" s="87">
        <f t="shared" si="17"/>
        <v>0</v>
      </c>
      <c r="AP36" s="87">
        <f t="shared" si="17"/>
        <v>0</v>
      </c>
      <c r="AQ36" s="87">
        <f t="shared" si="17"/>
        <v>0</v>
      </c>
      <c r="AR36" s="87">
        <f t="shared" si="17"/>
        <v>0</v>
      </c>
      <c r="AS36" s="87">
        <f>SUM(AS33:AS35)</f>
        <v>50000</v>
      </c>
    </row>
    <row r="37" spans="1:46" ht="140.25" hidden="1">
      <c r="A37" s="112" t="s">
        <v>258</v>
      </c>
      <c r="B37" s="113">
        <v>1</v>
      </c>
      <c r="C37" s="114" t="s">
        <v>259</v>
      </c>
      <c r="D37" s="115" t="s">
        <v>162</v>
      </c>
      <c r="E37" s="116" t="s">
        <v>260</v>
      </c>
      <c r="F37" s="116" t="s">
        <v>261</v>
      </c>
      <c r="G37" s="116" t="s">
        <v>262</v>
      </c>
      <c r="H37" s="116" t="s">
        <v>263</v>
      </c>
      <c r="I37" s="116" t="s">
        <v>264</v>
      </c>
      <c r="J37" s="117">
        <v>1722889.9600000002</v>
      </c>
      <c r="K37" s="117"/>
      <c r="L37" s="118" t="s">
        <v>265</v>
      </c>
      <c r="M37" s="119" t="s">
        <v>114</v>
      </c>
      <c r="N37" s="119"/>
      <c r="O37" s="117"/>
      <c r="P37" s="117">
        <v>1722889.9600000002</v>
      </c>
      <c r="Q37" s="120">
        <v>1722889.9600000002</v>
      </c>
      <c r="R37" s="121">
        <v>31693.119999999999</v>
      </c>
      <c r="S37" s="121"/>
      <c r="T37" s="121"/>
      <c r="U37" s="121">
        <v>1691196.84</v>
      </c>
      <c r="V37" s="121"/>
      <c r="W37" s="121"/>
      <c r="X37" s="121"/>
      <c r="Y37" s="120">
        <v>1722889.9600000002</v>
      </c>
      <c r="Z37" s="122" t="s">
        <v>266</v>
      </c>
      <c r="AA37" s="122" t="s">
        <v>267</v>
      </c>
      <c r="AB37" s="122" t="s">
        <v>268</v>
      </c>
      <c r="AC37" s="123">
        <v>42036</v>
      </c>
      <c r="AD37" s="123">
        <v>42369</v>
      </c>
      <c r="AE37" s="124" t="s">
        <v>269</v>
      </c>
      <c r="AF37" s="118" t="s">
        <v>270</v>
      </c>
      <c r="AG37" s="125">
        <v>0</v>
      </c>
      <c r="AH37" s="125">
        <v>1965.74</v>
      </c>
      <c r="AI37" s="125">
        <v>1965.74</v>
      </c>
      <c r="AJ37" s="125">
        <v>1965.74</v>
      </c>
      <c r="AK37" s="125">
        <v>5785.51</v>
      </c>
      <c r="AL37" s="125">
        <v>5785.51</v>
      </c>
      <c r="AM37" s="125">
        <v>284642.02</v>
      </c>
      <c r="AN37" s="125">
        <v>284642.02</v>
      </c>
      <c r="AO37" s="125">
        <v>284642.03000000003</v>
      </c>
      <c r="AP37" s="125">
        <v>283831.88</v>
      </c>
      <c r="AQ37" s="125">
        <v>283831.88</v>
      </c>
      <c r="AR37" s="125">
        <v>283831.89</v>
      </c>
      <c r="AS37" s="126">
        <f>SUM(AG37:AR37)</f>
        <v>1722889.96</v>
      </c>
    </row>
    <row r="38" spans="1:46" ht="216.75" hidden="1">
      <c r="A38" s="85" t="s">
        <v>258</v>
      </c>
      <c r="B38" s="78">
        <v>2</v>
      </c>
      <c r="C38" s="95" t="s">
        <v>271</v>
      </c>
      <c r="D38" s="127" t="s">
        <v>162</v>
      </c>
      <c r="E38" s="95" t="s">
        <v>272</v>
      </c>
      <c r="F38" s="95" t="s">
        <v>273</v>
      </c>
      <c r="G38" s="95" t="s">
        <v>274</v>
      </c>
      <c r="H38" s="95" t="s">
        <v>275</v>
      </c>
      <c r="I38" s="95" t="s">
        <v>276</v>
      </c>
      <c r="J38" s="128">
        <v>1650898.09</v>
      </c>
      <c r="K38" s="128"/>
      <c r="L38" s="85" t="s">
        <v>277</v>
      </c>
      <c r="M38" s="86" t="s">
        <v>114</v>
      </c>
      <c r="N38" s="86"/>
      <c r="O38" s="128"/>
      <c r="P38" s="128">
        <v>1650898.09</v>
      </c>
      <c r="Q38" s="129">
        <v>1650898.09</v>
      </c>
      <c r="R38" s="129">
        <v>5000</v>
      </c>
      <c r="S38" s="129"/>
      <c r="T38" s="129"/>
      <c r="U38" s="129">
        <v>1645898.09</v>
      </c>
      <c r="V38" s="129"/>
      <c r="W38" s="129"/>
      <c r="X38" s="129"/>
      <c r="Y38" s="129">
        <v>1650898.09</v>
      </c>
      <c r="Z38" s="130" t="s">
        <v>266</v>
      </c>
      <c r="AA38" s="130" t="s">
        <v>267</v>
      </c>
      <c r="AB38" s="130" t="s">
        <v>278</v>
      </c>
      <c r="AC38" s="131">
        <v>42125</v>
      </c>
      <c r="AD38" s="131">
        <v>42369</v>
      </c>
      <c r="AE38" s="85" t="s">
        <v>269</v>
      </c>
      <c r="AF38" s="85" t="s">
        <v>270</v>
      </c>
      <c r="AG38" s="132">
        <v>0</v>
      </c>
      <c r="AH38" s="132">
        <v>0</v>
      </c>
      <c r="AI38" s="132">
        <v>0</v>
      </c>
      <c r="AJ38" s="132">
        <v>0</v>
      </c>
      <c r="AK38" s="132">
        <v>625</v>
      </c>
      <c r="AL38" s="132">
        <v>625</v>
      </c>
      <c r="AM38" s="132">
        <v>274941.36</v>
      </c>
      <c r="AN38" s="132">
        <v>274941.36</v>
      </c>
      <c r="AO38" s="132">
        <v>274941.36</v>
      </c>
      <c r="AP38" s="132">
        <v>274941.36</v>
      </c>
      <c r="AQ38" s="132">
        <v>274941.36</v>
      </c>
      <c r="AR38" s="132">
        <v>274941.32</v>
      </c>
      <c r="AS38" s="133">
        <f t="shared" ref="AS38:AS42" si="18">SUM(AG38:AR38)</f>
        <v>1650898.1199999999</v>
      </c>
      <c r="AT38" s="134" t="s">
        <v>279</v>
      </c>
    </row>
    <row r="39" spans="1:46" ht="76.5" hidden="1">
      <c r="A39" s="135" t="s">
        <v>258</v>
      </c>
      <c r="B39" s="62">
        <v>3</v>
      </c>
      <c r="C39" s="91" t="s">
        <v>280</v>
      </c>
      <c r="D39" s="136" t="s">
        <v>162</v>
      </c>
      <c r="E39" s="91" t="s">
        <v>281</v>
      </c>
      <c r="F39" s="91" t="s">
        <v>282</v>
      </c>
      <c r="G39" s="91" t="s">
        <v>283</v>
      </c>
      <c r="H39" s="91" t="s">
        <v>284</v>
      </c>
      <c r="I39" s="91" t="s">
        <v>285</v>
      </c>
      <c r="J39" s="137">
        <v>6000</v>
      </c>
      <c r="K39" s="137"/>
      <c r="L39" s="67" t="s">
        <v>286</v>
      </c>
      <c r="M39" s="68" t="s">
        <v>114</v>
      </c>
      <c r="N39" s="68"/>
      <c r="O39" s="137"/>
      <c r="P39" s="137">
        <v>6000</v>
      </c>
      <c r="Q39" s="129">
        <v>6000</v>
      </c>
      <c r="R39" s="138">
        <v>6000</v>
      </c>
      <c r="S39" s="138"/>
      <c r="T39" s="138"/>
      <c r="U39" s="138"/>
      <c r="V39" s="138"/>
      <c r="W39" s="138"/>
      <c r="X39" s="138"/>
      <c r="Y39" s="129">
        <v>6000</v>
      </c>
      <c r="Z39" s="139" t="s">
        <v>266</v>
      </c>
      <c r="AA39" s="139" t="s">
        <v>267</v>
      </c>
      <c r="AB39" s="139" t="s">
        <v>287</v>
      </c>
      <c r="AC39" s="140">
        <v>42186</v>
      </c>
      <c r="AD39" s="140">
        <v>42369</v>
      </c>
      <c r="AE39" s="97" t="s">
        <v>269</v>
      </c>
      <c r="AF39" s="67" t="s">
        <v>288</v>
      </c>
      <c r="AG39" s="141">
        <v>0</v>
      </c>
      <c r="AH39" s="141">
        <v>0</v>
      </c>
      <c r="AI39" s="141">
        <v>0</v>
      </c>
      <c r="AJ39" s="141">
        <v>0</v>
      </c>
      <c r="AK39" s="141">
        <v>0</v>
      </c>
      <c r="AL39" s="141">
        <v>0</v>
      </c>
      <c r="AM39" s="141">
        <v>1000</v>
      </c>
      <c r="AN39" s="141">
        <v>1000</v>
      </c>
      <c r="AO39" s="141">
        <v>1000</v>
      </c>
      <c r="AP39" s="141">
        <v>1000</v>
      </c>
      <c r="AQ39" s="141">
        <v>1000</v>
      </c>
      <c r="AR39" s="141">
        <v>1000</v>
      </c>
      <c r="AS39" s="126">
        <f t="shared" si="18"/>
        <v>6000</v>
      </c>
    </row>
    <row r="40" spans="1:46" ht="89.25" hidden="1">
      <c r="A40" s="135" t="s">
        <v>258</v>
      </c>
      <c r="B40" s="113">
        <v>4</v>
      </c>
      <c r="C40" s="91" t="s">
        <v>289</v>
      </c>
      <c r="D40" s="136" t="s">
        <v>290</v>
      </c>
      <c r="E40" s="91" t="s">
        <v>291</v>
      </c>
      <c r="F40" s="91" t="s">
        <v>292</v>
      </c>
      <c r="G40" s="91" t="s">
        <v>293</v>
      </c>
      <c r="H40" s="91" t="s">
        <v>294</v>
      </c>
      <c r="I40" s="91" t="s">
        <v>295</v>
      </c>
      <c r="J40" s="137">
        <v>7500</v>
      </c>
      <c r="K40" s="137">
        <v>3683.57</v>
      </c>
      <c r="L40" s="67" t="s">
        <v>296</v>
      </c>
      <c r="M40" s="68" t="s">
        <v>114</v>
      </c>
      <c r="N40" s="68"/>
      <c r="O40" s="137"/>
      <c r="P40" s="137">
        <v>11183.57</v>
      </c>
      <c r="Q40" s="129">
        <v>11183.57</v>
      </c>
      <c r="R40" s="138">
        <v>11183.57</v>
      </c>
      <c r="S40" s="138"/>
      <c r="T40" s="138"/>
      <c r="U40" s="138"/>
      <c r="V40" s="138"/>
      <c r="W40" s="138"/>
      <c r="X40" s="138"/>
      <c r="Y40" s="129">
        <v>11183.57</v>
      </c>
      <c r="Z40" s="139" t="s">
        <v>266</v>
      </c>
      <c r="AA40" s="139" t="s">
        <v>267</v>
      </c>
      <c r="AB40" s="139" t="s">
        <v>297</v>
      </c>
      <c r="AC40" s="140">
        <v>42036</v>
      </c>
      <c r="AD40" s="140">
        <v>42369</v>
      </c>
      <c r="AE40" s="97" t="s">
        <v>269</v>
      </c>
      <c r="AF40" s="67"/>
      <c r="AG40" s="141">
        <v>0</v>
      </c>
      <c r="AH40" s="141">
        <v>681.82</v>
      </c>
      <c r="AI40" s="141">
        <v>681.82</v>
      </c>
      <c r="AJ40" s="141">
        <v>681.82</v>
      </c>
      <c r="AK40" s="141">
        <v>681.82</v>
      </c>
      <c r="AL40" s="141">
        <v>1208.0500000000002</v>
      </c>
      <c r="AM40" s="141">
        <v>1208.0500000000002</v>
      </c>
      <c r="AN40" s="141">
        <v>1208.0500000000002</v>
      </c>
      <c r="AO40" s="141">
        <v>1208.04</v>
      </c>
      <c r="AP40" s="141">
        <v>1208.04</v>
      </c>
      <c r="AQ40" s="141">
        <v>1208.03</v>
      </c>
      <c r="AR40" s="141">
        <v>1208.03</v>
      </c>
      <c r="AS40" s="126">
        <f t="shared" si="18"/>
        <v>11183.570000000003</v>
      </c>
      <c r="AT40" s="142">
        <f>+AH40+AI40</f>
        <v>1363.64</v>
      </c>
    </row>
    <row r="41" spans="1:46" ht="178.5" hidden="1">
      <c r="A41" s="135" t="s">
        <v>258</v>
      </c>
      <c r="B41" s="62">
        <v>5</v>
      </c>
      <c r="C41" s="91" t="s">
        <v>298</v>
      </c>
      <c r="D41" s="136" t="s">
        <v>299</v>
      </c>
      <c r="E41" s="91" t="s">
        <v>300</v>
      </c>
      <c r="F41" s="91" t="s">
        <v>301</v>
      </c>
      <c r="G41" s="91" t="s">
        <v>302</v>
      </c>
      <c r="H41" s="91" t="s">
        <v>303</v>
      </c>
      <c r="I41" s="91" t="s">
        <v>304</v>
      </c>
      <c r="J41" s="137">
        <v>4683.57</v>
      </c>
      <c r="K41" s="137"/>
      <c r="L41" s="67" t="s">
        <v>305</v>
      </c>
      <c r="M41" s="68" t="s">
        <v>114</v>
      </c>
      <c r="N41" s="68"/>
      <c r="O41" s="137"/>
      <c r="P41" s="137">
        <v>4683.57</v>
      </c>
      <c r="Q41" s="129">
        <v>4683.57</v>
      </c>
      <c r="R41" s="138">
        <v>4683.57</v>
      </c>
      <c r="S41" s="138"/>
      <c r="T41" s="138"/>
      <c r="U41" s="138">
        <v>0</v>
      </c>
      <c r="V41" s="138"/>
      <c r="W41" s="138"/>
      <c r="X41" s="138"/>
      <c r="Y41" s="129">
        <v>4683.57</v>
      </c>
      <c r="Z41" s="139" t="s">
        <v>266</v>
      </c>
      <c r="AA41" s="139" t="s">
        <v>267</v>
      </c>
      <c r="AB41" s="139" t="s">
        <v>306</v>
      </c>
      <c r="AC41" s="140">
        <v>42095</v>
      </c>
      <c r="AD41" s="140" t="s">
        <v>307</v>
      </c>
      <c r="AE41" s="97" t="s">
        <v>269</v>
      </c>
      <c r="AF41" s="67"/>
      <c r="AG41" s="141">
        <v>0</v>
      </c>
      <c r="AH41" s="141">
        <v>0</v>
      </c>
      <c r="AI41" s="141">
        <v>0</v>
      </c>
      <c r="AJ41" s="141">
        <v>0</v>
      </c>
      <c r="AK41" s="141">
        <v>2341.7800000000002</v>
      </c>
      <c r="AL41" s="141">
        <v>2341.79</v>
      </c>
      <c r="AM41" s="141">
        <v>0</v>
      </c>
      <c r="AN41" s="141">
        <v>0</v>
      </c>
      <c r="AO41" s="141">
        <v>0</v>
      </c>
      <c r="AP41" s="141">
        <v>0</v>
      </c>
      <c r="AQ41" s="141">
        <v>0</v>
      </c>
      <c r="AR41" s="141">
        <v>0</v>
      </c>
      <c r="AS41" s="126">
        <f t="shared" si="18"/>
        <v>4683.57</v>
      </c>
    </row>
    <row r="42" spans="1:46" ht="178.5" hidden="1">
      <c r="A42" s="135" t="s">
        <v>258</v>
      </c>
      <c r="B42" s="62">
        <v>6</v>
      </c>
      <c r="C42" s="91" t="s">
        <v>308</v>
      </c>
      <c r="D42" s="136" t="s">
        <v>162</v>
      </c>
      <c r="E42" s="91" t="s">
        <v>309</v>
      </c>
      <c r="F42" s="91" t="s">
        <v>310</v>
      </c>
      <c r="G42" s="91" t="s">
        <v>311</v>
      </c>
      <c r="H42" s="91" t="s">
        <v>312</v>
      </c>
      <c r="I42" s="91" t="s">
        <v>313</v>
      </c>
      <c r="J42" s="137">
        <v>81350.080000000002</v>
      </c>
      <c r="K42" s="137"/>
      <c r="L42" s="67" t="s">
        <v>305</v>
      </c>
      <c r="M42" s="68" t="s">
        <v>68</v>
      </c>
      <c r="N42" s="68"/>
      <c r="O42" s="137"/>
      <c r="P42" s="137">
        <v>81350.080000000002</v>
      </c>
      <c r="Q42" s="129">
        <v>81350.080000000002</v>
      </c>
      <c r="R42" s="138">
        <v>81350.080000000002</v>
      </c>
      <c r="S42" s="138"/>
      <c r="T42" s="138"/>
      <c r="U42" s="138"/>
      <c r="V42" s="138"/>
      <c r="W42" s="138"/>
      <c r="X42" s="138"/>
      <c r="Y42" s="129">
        <v>81350.080000000002</v>
      </c>
      <c r="Z42" s="139" t="s">
        <v>266</v>
      </c>
      <c r="AA42" s="139" t="s">
        <v>267</v>
      </c>
      <c r="AB42" s="139" t="s">
        <v>314</v>
      </c>
      <c r="AC42" s="140">
        <v>42186</v>
      </c>
      <c r="AD42" s="140">
        <v>42369</v>
      </c>
      <c r="AE42" s="97" t="s">
        <v>269</v>
      </c>
      <c r="AF42" s="67"/>
      <c r="AG42" s="141">
        <v>0</v>
      </c>
      <c r="AH42" s="141">
        <v>0</v>
      </c>
      <c r="AI42" s="141">
        <v>0</v>
      </c>
      <c r="AJ42" s="141">
        <v>0</v>
      </c>
      <c r="AK42" s="141">
        <v>0</v>
      </c>
      <c r="AL42" s="141">
        <v>0</v>
      </c>
      <c r="AM42" s="141">
        <v>13558.32</v>
      </c>
      <c r="AN42" s="141">
        <v>13558.32</v>
      </c>
      <c r="AO42" s="141">
        <v>13558.34</v>
      </c>
      <c r="AP42" s="141">
        <v>13558.34</v>
      </c>
      <c r="AQ42" s="141">
        <v>13558.38</v>
      </c>
      <c r="AR42" s="141">
        <v>13558.38</v>
      </c>
      <c r="AS42" s="126">
        <f t="shared" si="18"/>
        <v>81350.080000000002</v>
      </c>
    </row>
    <row r="43" spans="1:46" hidden="1">
      <c r="A43" s="143"/>
      <c r="B43" s="144"/>
      <c r="C43" s="145"/>
      <c r="D43" s="145"/>
      <c r="E43" s="145"/>
      <c r="F43" s="145"/>
      <c r="G43" s="145"/>
      <c r="H43" s="145"/>
      <c r="I43" s="145"/>
      <c r="J43" s="146">
        <f>SUM(J37:J42)</f>
        <v>3473321.7</v>
      </c>
      <c r="K43" s="146">
        <f t="shared" ref="K43:AF43" si="19">SUM(K37:K42)</f>
        <v>3683.57</v>
      </c>
      <c r="L43" s="146">
        <f t="shared" si="19"/>
        <v>0</v>
      </c>
      <c r="M43" s="146">
        <f t="shared" si="19"/>
        <v>0</v>
      </c>
      <c r="N43" s="146">
        <f t="shared" si="19"/>
        <v>0</v>
      </c>
      <c r="O43" s="146">
        <f t="shared" si="19"/>
        <v>0</v>
      </c>
      <c r="P43" s="146">
        <f t="shared" si="19"/>
        <v>3477005.27</v>
      </c>
      <c r="Q43" s="146">
        <f t="shared" si="19"/>
        <v>3477005.27</v>
      </c>
      <c r="R43" s="146">
        <f t="shared" si="19"/>
        <v>139910.34</v>
      </c>
      <c r="S43" s="146">
        <f t="shared" si="19"/>
        <v>0</v>
      </c>
      <c r="T43" s="146">
        <f t="shared" si="19"/>
        <v>0</v>
      </c>
      <c r="U43" s="146">
        <f t="shared" si="19"/>
        <v>3337094.93</v>
      </c>
      <c r="V43" s="146">
        <f t="shared" si="19"/>
        <v>0</v>
      </c>
      <c r="W43" s="146">
        <f t="shared" si="19"/>
        <v>0</v>
      </c>
      <c r="X43" s="146">
        <f t="shared" si="19"/>
        <v>0</v>
      </c>
      <c r="Y43" s="146">
        <f t="shared" si="19"/>
        <v>3477005.27</v>
      </c>
      <c r="Z43" s="146">
        <f t="shared" si="19"/>
        <v>0</v>
      </c>
      <c r="AA43" s="146">
        <f t="shared" si="19"/>
        <v>0</v>
      </c>
      <c r="AB43" s="146">
        <f t="shared" si="19"/>
        <v>0</v>
      </c>
      <c r="AC43" s="146"/>
      <c r="AD43" s="146"/>
      <c r="AE43" s="146">
        <f t="shared" si="19"/>
        <v>0</v>
      </c>
      <c r="AF43" s="146">
        <f t="shared" si="19"/>
        <v>0</v>
      </c>
      <c r="AG43" s="146">
        <f>SUM(AG37:AG42)</f>
        <v>0</v>
      </c>
      <c r="AH43" s="146">
        <f t="shared" ref="AH43:AR43" si="20">SUM(AH37:AH42)</f>
        <v>2647.56</v>
      </c>
      <c r="AI43" s="146">
        <f t="shared" si="20"/>
        <v>2647.56</v>
      </c>
      <c r="AJ43" s="146">
        <f t="shared" si="20"/>
        <v>2647.56</v>
      </c>
      <c r="AK43" s="146">
        <f t="shared" si="20"/>
        <v>9434.11</v>
      </c>
      <c r="AL43" s="146">
        <f t="shared" si="20"/>
        <v>9960.35</v>
      </c>
      <c r="AM43" s="146">
        <f t="shared" si="20"/>
        <v>575349.75</v>
      </c>
      <c r="AN43" s="146">
        <f t="shared" si="20"/>
        <v>575349.75</v>
      </c>
      <c r="AO43" s="146">
        <f t="shared" si="20"/>
        <v>575349.77</v>
      </c>
      <c r="AP43" s="146">
        <f t="shared" si="20"/>
        <v>574539.62</v>
      </c>
      <c r="AQ43" s="146">
        <f t="shared" si="20"/>
        <v>574539.65</v>
      </c>
      <c r="AR43" s="146">
        <f t="shared" si="20"/>
        <v>574539.62</v>
      </c>
      <c r="AS43" s="146">
        <f>SUM(AS37:AS42)</f>
        <v>3477005.3</v>
      </c>
    </row>
    <row r="44" spans="1:46" ht="89.25" hidden="1">
      <c r="A44" s="88" t="s">
        <v>315</v>
      </c>
      <c r="B44" s="147">
        <v>1</v>
      </c>
      <c r="C44" s="148" t="s">
        <v>316</v>
      </c>
      <c r="D44" s="64" t="s">
        <v>317</v>
      </c>
      <c r="E44" s="65" t="s">
        <v>318</v>
      </c>
      <c r="F44" s="46" t="s">
        <v>319</v>
      </c>
      <c r="G44" s="46" t="s">
        <v>320</v>
      </c>
      <c r="H44" s="46" t="s">
        <v>321</v>
      </c>
      <c r="I44" s="65" t="s">
        <v>322</v>
      </c>
      <c r="J44" s="66"/>
      <c r="K44" s="66">
        <v>14680.7</v>
      </c>
      <c r="L44" s="67" t="s">
        <v>142</v>
      </c>
      <c r="M44" s="68" t="s">
        <v>68</v>
      </c>
      <c r="N44" s="68"/>
      <c r="O44" s="66"/>
      <c r="P44" s="66">
        <v>14680.7</v>
      </c>
      <c r="Q44" s="69">
        <f t="shared" ref="Q44" si="21">SUM(O44:P44)</f>
        <v>14680.7</v>
      </c>
      <c r="R44" s="66">
        <v>14680.7</v>
      </c>
      <c r="S44" s="70"/>
      <c r="T44" s="70">
        <v>0</v>
      </c>
      <c r="U44" s="70"/>
      <c r="V44" s="70"/>
      <c r="W44" s="70"/>
      <c r="X44" s="70"/>
      <c r="Y44" s="69">
        <f t="shared" si="8"/>
        <v>14680.7</v>
      </c>
      <c r="Z44" s="71" t="s">
        <v>315</v>
      </c>
      <c r="AA44" s="71" t="s">
        <v>323</v>
      </c>
      <c r="AB44" s="71" t="s">
        <v>324</v>
      </c>
      <c r="AC44" s="72">
        <v>42095</v>
      </c>
      <c r="AD44" s="72">
        <v>42156</v>
      </c>
      <c r="AE44" s="73" t="s">
        <v>72</v>
      </c>
      <c r="AF44" s="76"/>
      <c r="AG44" s="74"/>
      <c r="AH44" s="74"/>
      <c r="AI44" s="74"/>
      <c r="AJ44" s="74">
        <v>7340.35</v>
      </c>
      <c r="AK44" s="74"/>
      <c r="AL44" s="74">
        <v>7340.35</v>
      </c>
      <c r="AM44" s="74"/>
      <c r="AN44" s="74"/>
      <c r="AO44" s="74"/>
      <c r="AP44" s="74"/>
      <c r="AQ44" s="74"/>
      <c r="AR44" s="74"/>
      <c r="AS44" s="75">
        <f t="shared" ref="AS44" si="22">SUM(AG44:AR44)</f>
        <v>14680.7</v>
      </c>
    </row>
    <row r="45" spans="1:46" hidden="1">
      <c r="A45" s="149"/>
      <c r="B45" s="150"/>
      <c r="C45" s="100"/>
      <c r="D45" s="100"/>
      <c r="E45" s="100"/>
      <c r="F45" s="100"/>
      <c r="G45" s="100"/>
      <c r="H45" s="100"/>
      <c r="I45" s="100"/>
      <c r="J45" s="101">
        <f t="shared" ref="J45:AB45" si="23">SUM(J44)</f>
        <v>0</v>
      </c>
      <c r="K45" s="101">
        <f t="shared" si="23"/>
        <v>14680.7</v>
      </c>
      <c r="L45" s="101">
        <f t="shared" si="23"/>
        <v>0</v>
      </c>
      <c r="M45" s="101">
        <f t="shared" si="23"/>
        <v>0</v>
      </c>
      <c r="N45" s="101">
        <f t="shared" si="23"/>
        <v>0</v>
      </c>
      <c r="O45" s="101">
        <f t="shared" si="23"/>
        <v>0</v>
      </c>
      <c r="P45" s="101">
        <f t="shared" si="23"/>
        <v>14680.7</v>
      </c>
      <c r="Q45" s="101">
        <f t="shared" si="23"/>
        <v>14680.7</v>
      </c>
      <c r="R45" s="101">
        <f t="shared" si="23"/>
        <v>14680.7</v>
      </c>
      <c r="S45" s="101">
        <f t="shared" si="23"/>
        <v>0</v>
      </c>
      <c r="T45" s="101">
        <f t="shared" si="23"/>
        <v>0</v>
      </c>
      <c r="U45" s="101">
        <f t="shared" si="23"/>
        <v>0</v>
      </c>
      <c r="V45" s="101">
        <f t="shared" si="23"/>
        <v>0</v>
      </c>
      <c r="W45" s="101">
        <f t="shared" si="23"/>
        <v>0</v>
      </c>
      <c r="X45" s="101">
        <f t="shared" si="23"/>
        <v>0</v>
      </c>
      <c r="Y45" s="101">
        <f t="shared" si="23"/>
        <v>14680.7</v>
      </c>
      <c r="Z45" s="101">
        <f t="shared" si="23"/>
        <v>0</v>
      </c>
      <c r="AA45" s="101">
        <f t="shared" si="23"/>
        <v>0</v>
      </c>
      <c r="AB45" s="101">
        <f t="shared" si="23"/>
        <v>0</v>
      </c>
      <c r="AC45" s="101"/>
      <c r="AD45" s="101"/>
      <c r="AE45" s="101">
        <f t="shared" ref="AE45:AS45" si="24">SUM(AE44)</f>
        <v>0</v>
      </c>
      <c r="AF45" s="101">
        <f t="shared" si="24"/>
        <v>0</v>
      </c>
      <c r="AG45" s="101">
        <f t="shared" si="24"/>
        <v>0</v>
      </c>
      <c r="AH45" s="101">
        <f t="shared" si="24"/>
        <v>0</v>
      </c>
      <c r="AI45" s="101">
        <f t="shared" si="24"/>
        <v>0</v>
      </c>
      <c r="AJ45" s="101">
        <f t="shared" si="24"/>
        <v>7340.35</v>
      </c>
      <c r="AK45" s="101">
        <f t="shared" si="24"/>
        <v>0</v>
      </c>
      <c r="AL45" s="101">
        <f t="shared" si="24"/>
        <v>7340.35</v>
      </c>
      <c r="AM45" s="101">
        <f t="shared" si="24"/>
        <v>0</v>
      </c>
      <c r="AN45" s="101">
        <f t="shared" si="24"/>
        <v>0</v>
      </c>
      <c r="AO45" s="101">
        <f t="shared" si="24"/>
        <v>0</v>
      </c>
      <c r="AP45" s="101">
        <f t="shared" si="24"/>
        <v>0</v>
      </c>
      <c r="AQ45" s="101">
        <f t="shared" si="24"/>
        <v>0</v>
      </c>
      <c r="AR45" s="101">
        <f t="shared" si="24"/>
        <v>0</v>
      </c>
      <c r="AS45" s="101">
        <f t="shared" si="24"/>
        <v>14680.7</v>
      </c>
    </row>
    <row r="46" spans="1:46" ht="102" hidden="1">
      <c r="A46" s="92" t="s">
        <v>325</v>
      </c>
      <c r="B46" s="62">
        <v>1</v>
      </c>
      <c r="C46" s="92" t="s">
        <v>326</v>
      </c>
      <c r="D46" s="92" t="s">
        <v>327</v>
      </c>
      <c r="E46" s="92" t="s">
        <v>328</v>
      </c>
      <c r="F46" s="92" t="s">
        <v>329</v>
      </c>
      <c r="G46" s="92" t="s">
        <v>330</v>
      </c>
      <c r="H46" s="151" t="s">
        <v>331</v>
      </c>
      <c r="I46" s="65" t="s">
        <v>332</v>
      </c>
      <c r="J46" s="137">
        <v>56285.62</v>
      </c>
      <c r="K46" s="137"/>
      <c r="L46" s="67" t="s">
        <v>333</v>
      </c>
      <c r="M46" s="68" t="s">
        <v>114</v>
      </c>
      <c r="N46" s="68"/>
      <c r="O46" s="66"/>
      <c r="P46" s="137">
        <v>56285.62</v>
      </c>
      <c r="Q46" s="69">
        <f>SUM(O46:P46)</f>
        <v>56285.62</v>
      </c>
      <c r="R46" s="137">
        <v>56285.62</v>
      </c>
      <c r="S46" s="70"/>
      <c r="T46" s="70"/>
      <c r="U46" s="70"/>
      <c r="V46" s="70"/>
      <c r="W46" s="70"/>
      <c r="X46" s="70"/>
      <c r="Y46" s="69">
        <f t="shared" si="8"/>
        <v>56285.62</v>
      </c>
      <c r="Z46" s="71" t="s">
        <v>334</v>
      </c>
      <c r="AA46" s="71" t="s">
        <v>335</v>
      </c>
      <c r="AB46" s="71" t="s">
        <v>336</v>
      </c>
      <c r="AC46" s="72">
        <v>42005</v>
      </c>
      <c r="AD46" s="72">
        <v>42369</v>
      </c>
      <c r="AE46" s="73" t="s">
        <v>337</v>
      </c>
      <c r="AF46" s="76"/>
      <c r="AG46" s="74">
        <v>46385.62</v>
      </c>
      <c r="AH46" s="74">
        <v>900</v>
      </c>
      <c r="AI46" s="74">
        <v>900</v>
      </c>
      <c r="AJ46" s="74">
        <v>900</v>
      </c>
      <c r="AK46" s="74">
        <v>900</v>
      </c>
      <c r="AL46" s="74">
        <v>900</v>
      </c>
      <c r="AM46" s="74">
        <v>900</v>
      </c>
      <c r="AN46" s="74">
        <v>900</v>
      </c>
      <c r="AO46" s="74">
        <v>900</v>
      </c>
      <c r="AP46" s="74">
        <v>900</v>
      </c>
      <c r="AQ46" s="74">
        <v>900</v>
      </c>
      <c r="AR46" s="74">
        <v>900</v>
      </c>
      <c r="AS46" s="75">
        <f>SUM(AG46:AR46)</f>
        <v>56285.62</v>
      </c>
    </row>
    <row r="47" spans="1:46" ht="51" hidden="1">
      <c r="A47" s="92" t="s">
        <v>325</v>
      </c>
      <c r="B47" s="62">
        <v>2</v>
      </c>
      <c r="C47" s="152" t="s">
        <v>338</v>
      </c>
      <c r="D47" s="153" t="s">
        <v>162</v>
      </c>
      <c r="E47" s="154">
        <v>0</v>
      </c>
      <c r="F47" s="155" t="s">
        <v>339</v>
      </c>
      <c r="G47" s="156" t="s">
        <v>340</v>
      </c>
      <c r="H47" s="156" t="s">
        <v>341</v>
      </c>
      <c r="I47" s="156" t="s">
        <v>342</v>
      </c>
      <c r="J47" s="157">
        <v>50000</v>
      </c>
      <c r="K47" s="157"/>
      <c r="L47" s="158" t="s">
        <v>333</v>
      </c>
      <c r="M47" s="159" t="s">
        <v>68</v>
      </c>
      <c r="N47" s="159"/>
      <c r="O47" s="157"/>
      <c r="P47" s="157">
        <v>50000</v>
      </c>
      <c r="Q47" s="160">
        <f t="shared" ref="Q47:Q49" si="25">SUM(O47:P47)</f>
        <v>50000</v>
      </c>
      <c r="R47" s="157">
        <v>50000</v>
      </c>
      <c r="S47" s="161"/>
      <c r="T47" s="161"/>
      <c r="U47" s="161"/>
      <c r="V47" s="161"/>
      <c r="W47" s="161"/>
      <c r="X47" s="161"/>
      <c r="Y47" s="160">
        <f t="shared" si="8"/>
        <v>50000</v>
      </c>
      <c r="Z47" s="162" t="s">
        <v>334</v>
      </c>
      <c r="AA47" s="162" t="s">
        <v>335</v>
      </c>
      <c r="AB47" s="162" t="s">
        <v>343</v>
      </c>
      <c r="AC47" s="163">
        <v>42248</v>
      </c>
      <c r="AD47" s="163">
        <v>42292</v>
      </c>
      <c r="AE47" s="164" t="s">
        <v>337</v>
      </c>
      <c r="AF47" s="165" t="s">
        <v>344</v>
      </c>
      <c r="AG47" s="166">
        <v>0</v>
      </c>
      <c r="AH47" s="166">
        <v>0</v>
      </c>
      <c r="AI47" s="166">
        <v>0</v>
      </c>
      <c r="AJ47" s="166">
        <v>0</v>
      </c>
      <c r="AK47" s="166">
        <v>0</v>
      </c>
      <c r="AL47" s="166">
        <v>0</v>
      </c>
      <c r="AM47" s="166">
        <v>0</v>
      </c>
      <c r="AN47" s="166">
        <v>0</v>
      </c>
      <c r="AO47" s="166">
        <v>50000</v>
      </c>
      <c r="AP47" s="166">
        <v>0</v>
      </c>
      <c r="AQ47" s="166">
        <v>0</v>
      </c>
      <c r="AR47" s="166">
        <v>0</v>
      </c>
      <c r="AS47" s="167">
        <f>SUM(AM47:AR47)</f>
        <v>50000</v>
      </c>
    </row>
    <row r="48" spans="1:46" ht="127.5" hidden="1">
      <c r="A48" s="168" t="s">
        <v>325</v>
      </c>
      <c r="B48" s="169">
        <v>3</v>
      </c>
      <c r="C48" s="170" t="s">
        <v>345</v>
      </c>
      <c r="D48" s="153" t="s">
        <v>162</v>
      </c>
      <c r="E48" s="154">
        <v>1</v>
      </c>
      <c r="F48" s="156" t="s">
        <v>346</v>
      </c>
      <c r="G48" s="156" t="s">
        <v>347</v>
      </c>
      <c r="H48" s="156" t="s">
        <v>348</v>
      </c>
      <c r="I48" s="156" t="s">
        <v>349</v>
      </c>
      <c r="J48" s="157">
        <v>10000</v>
      </c>
      <c r="K48" s="157"/>
      <c r="L48" s="158" t="s">
        <v>333</v>
      </c>
      <c r="M48" s="159" t="s">
        <v>114</v>
      </c>
      <c r="N48" s="159"/>
      <c r="O48" s="157"/>
      <c r="P48" s="157">
        <v>10000</v>
      </c>
      <c r="Q48" s="160">
        <f t="shared" si="25"/>
        <v>10000</v>
      </c>
      <c r="R48" s="161">
        <v>10000</v>
      </c>
      <c r="S48" s="161"/>
      <c r="T48" s="161"/>
      <c r="U48" s="161"/>
      <c r="V48" s="161"/>
      <c r="W48" s="161"/>
      <c r="X48" s="161"/>
      <c r="Y48" s="160">
        <f t="shared" si="8"/>
        <v>10000</v>
      </c>
      <c r="Z48" s="162" t="s">
        <v>334</v>
      </c>
      <c r="AA48" s="162" t="s">
        <v>335</v>
      </c>
      <c r="AB48" s="162" t="s">
        <v>350</v>
      </c>
      <c r="AC48" s="163">
        <v>42005</v>
      </c>
      <c r="AD48" s="163">
        <v>42369</v>
      </c>
      <c r="AE48" s="164" t="s">
        <v>337</v>
      </c>
      <c r="AF48" s="165"/>
      <c r="AG48" s="166">
        <v>833</v>
      </c>
      <c r="AH48" s="166">
        <v>833</v>
      </c>
      <c r="AI48" s="166">
        <v>833</v>
      </c>
      <c r="AJ48" s="166">
        <v>833</v>
      </c>
      <c r="AK48" s="166">
        <v>833</v>
      </c>
      <c r="AL48" s="166">
        <v>833</v>
      </c>
      <c r="AM48" s="166">
        <v>833</v>
      </c>
      <c r="AN48" s="166">
        <v>833</v>
      </c>
      <c r="AO48" s="166">
        <v>833</v>
      </c>
      <c r="AP48" s="166">
        <v>833</v>
      </c>
      <c r="AQ48" s="166">
        <v>833</v>
      </c>
      <c r="AR48" s="166">
        <v>837</v>
      </c>
      <c r="AS48" s="167">
        <f>SUM(AG48:AR48)</f>
        <v>10000</v>
      </c>
    </row>
    <row r="49" spans="1:45" ht="76.5" hidden="1">
      <c r="A49" s="168" t="s">
        <v>325</v>
      </c>
      <c r="B49" s="169">
        <v>4</v>
      </c>
      <c r="C49" s="170" t="s">
        <v>351</v>
      </c>
      <c r="D49" s="153" t="s">
        <v>327</v>
      </c>
      <c r="E49" s="154">
        <v>0</v>
      </c>
      <c r="F49" s="156" t="s">
        <v>352</v>
      </c>
      <c r="G49" s="156" t="s">
        <v>353</v>
      </c>
      <c r="H49" s="156" t="s">
        <v>351</v>
      </c>
      <c r="I49" s="156" t="s">
        <v>354</v>
      </c>
      <c r="J49" s="157">
        <v>10000</v>
      </c>
      <c r="K49" s="157"/>
      <c r="L49" s="158" t="s">
        <v>333</v>
      </c>
      <c r="M49" s="159" t="s">
        <v>68</v>
      </c>
      <c r="N49" s="159"/>
      <c r="O49" s="157"/>
      <c r="P49" s="157">
        <v>10000</v>
      </c>
      <c r="Q49" s="160">
        <f t="shared" si="25"/>
        <v>10000</v>
      </c>
      <c r="R49" s="161">
        <v>10000</v>
      </c>
      <c r="S49" s="161"/>
      <c r="T49" s="161"/>
      <c r="U49" s="161"/>
      <c r="V49" s="161"/>
      <c r="W49" s="161"/>
      <c r="X49" s="161"/>
      <c r="Y49" s="160">
        <f t="shared" si="8"/>
        <v>10000</v>
      </c>
      <c r="Z49" s="162" t="s">
        <v>334</v>
      </c>
      <c r="AA49" s="162" t="s">
        <v>335</v>
      </c>
      <c r="AB49" s="162" t="s">
        <v>355</v>
      </c>
      <c r="AC49" s="163">
        <v>42005</v>
      </c>
      <c r="AD49" s="163">
        <v>42369</v>
      </c>
      <c r="AE49" s="164" t="s">
        <v>337</v>
      </c>
      <c r="AF49" s="165"/>
      <c r="AG49" s="166">
        <v>0</v>
      </c>
      <c r="AH49" s="166">
        <v>10000</v>
      </c>
      <c r="AI49" s="166">
        <v>0</v>
      </c>
      <c r="AJ49" s="166">
        <v>0</v>
      </c>
      <c r="AK49" s="166">
        <v>0</v>
      </c>
      <c r="AL49" s="166">
        <v>0</v>
      </c>
      <c r="AM49" s="166">
        <v>0</v>
      </c>
      <c r="AN49" s="166">
        <v>0</v>
      </c>
      <c r="AO49" s="166">
        <v>0</v>
      </c>
      <c r="AP49" s="166">
        <v>0</v>
      </c>
      <c r="AQ49" s="166">
        <v>0</v>
      </c>
      <c r="AR49" s="166">
        <v>0</v>
      </c>
      <c r="AS49" s="167">
        <f>SUM(AG49:AR49)</f>
        <v>10000</v>
      </c>
    </row>
    <row r="50" spans="1:45" hidden="1">
      <c r="A50" s="171"/>
      <c r="B50" s="172"/>
      <c r="C50" s="171"/>
      <c r="D50" s="171"/>
      <c r="E50" s="171"/>
      <c r="F50" s="171"/>
      <c r="G50" s="171"/>
      <c r="H50" s="171"/>
      <c r="I50" s="171"/>
      <c r="J50" s="173">
        <f t="shared" ref="J50:Y50" si="26">SUM(J46:J49)</f>
        <v>126285.62</v>
      </c>
      <c r="K50" s="173">
        <f t="shared" si="26"/>
        <v>0</v>
      </c>
      <c r="L50" s="173">
        <f t="shared" si="26"/>
        <v>0</v>
      </c>
      <c r="M50" s="173">
        <f t="shared" si="26"/>
        <v>0</v>
      </c>
      <c r="N50" s="173">
        <f t="shared" si="26"/>
        <v>0</v>
      </c>
      <c r="O50" s="173">
        <f t="shared" si="26"/>
        <v>0</v>
      </c>
      <c r="P50" s="173">
        <f t="shared" si="26"/>
        <v>126285.62</v>
      </c>
      <c r="Q50" s="173">
        <f t="shared" si="26"/>
        <v>126285.62</v>
      </c>
      <c r="R50" s="173">
        <f t="shared" si="26"/>
        <v>126285.62</v>
      </c>
      <c r="S50" s="173">
        <f t="shared" si="26"/>
        <v>0</v>
      </c>
      <c r="T50" s="173">
        <f t="shared" si="26"/>
        <v>0</v>
      </c>
      <c r="U50" s="173">
        <f t="shared" si="26"/>
        <v>0</v>
      </c>
      <c r="V50" s="173">
        <f t="shared" si="26"/>
        <v>0</v>
      </c>
      <c r="W50" s="173">
        <f t="shared" si="26"/>
        <v>0</v>
      </c>
      <c r="X50" s="173">
        <f t="shared" si="26"/>
        <v>0</v>
      </c>
      <c r="Y50" s="173">
        <f t="shared" si="26"/>
        <v>126285.62</v>
      </c>
      <c r="Z50" s="173"/>
      <c r="AA50" s="173"/>
      <c r="AB50" s="173"/>
      <c r="AC50" s="173"/>
      <c r="AD50" s="173"/>
      <c r="AE50" s="173"/>
      <c r="AF50" s="173"/>
      <c r="AG50" s="173">
        <f>SUM(AG46:AG49)</f>
        <v>47218.62</v>
      </c>
      <c r="AH50" s="173">
        <f t="shared" ref="AH50:AR50" si="27">SUM(AH46:AH49)</f>
        <v>11733</v>
      </c>
      <c r="AI50" s="173">
        <f t="shared" si="27"/>
        <v>1733</v>
      </c>
      <c r="AJ50" s="173">
        <f t="shared" si="27"/>
        <v>1733</v>
      </c>
      <c r="AK50" s="173">
        <f t="shared" si="27"/>
        <v>1733</v>
      </c>
      <c r="AL50" s="173">
        <f t="shared" si="27"/>
        <v>1733</v>
      </c>
      <c r="AM50" s="173">
        <f t="shared" si="27"/>
        <v>1733</v>
      </c>
      <c r="AN50" s="173">
        <f t="shared" si="27"/>
        <v>1733</v>
      </c>
      <c r="AO50" s="173">
        <f t="shared" si="27"/>
        <v>51733</v>
      </c>
      <c r="AP50" s="173">
        <f t="shared" si="27"/>
        <v>1733</v>
      </c>
      <c r="AQ50" s="173">
        <f t="shared" si="27"/>
        <v>1733</v>
      </c>
      <c r="AR50" s="173">
        <f t="shared" si="27"/>
        <v>1737</v>
      </c>
      <c r="AS50" s="173">
        <f>SUM(AS46:AS49)</f>
        <v>126285.62</v>
      </c>
    </row>
    <row r="51" spans="1:45" ht="153" hidden="1">
      <c r="A51" s="174" t="s">
        <v>356</v>
      </c>
      <c r="B51" s="169">
        <v>1</v>
      </c>
      <c r="C51" s="175" t="s">
        <v>357</v>
      </c>
      <c r="D51" s="176" t="s">
        <v>358</v>
      </c>
      <c r="E51" s="177" t="s">
        <v>359</v>
      </c>
      <c r="F51" s="178" t="s">
        <v>360</v>
      </c>
      <c r="G51" s="178" t="s">
        <v>361</v>
      </c>
      <c r="H51" s="179" t="s">
        <v>362</v>
      </c>
      <c r="I51" s="179" t="s">
        <v>363</v>
      </c>
      <c r="J51" s="157"/>
      <c r="K51" s="157">
        <v>226446.9</v>
      </c>
      <c r="L51" s="158" t="s">
        <v>364</v>
      </c>
      <c r="M51" s="158"/>
      <c r="N51" s="158" t="s">
        <v>68</v>
      </c>
      <c r="O51" s="157"/>
      <c r="P51" s="157">
        <v>226446.9</v>
      </c>
      <c r="Q51" s="160">
        <f>SUM(O51:P51)</f>
        <v>226446.9</v>
      </c>
      <c r="R51" s="161">
        <v>1000</v>
      </c>
      <c r="S51" s="161"/>
      <c r="T51" s="161"/>
      <c r="U51" s="161"/>
      <c r="V51" s="161">
        <v>25446.9</v>
      </c>
      <c r="W51" s="161"/>
      <c r="X51" s="161">
        <v>200000</v>
      </c>
      <c r="Y51" s="160">
        <f>SUM(R51:X51)</f>
        <v>226446.9</v>
      </c>
      <c r="Z51" s="162" t="s">
        <v>365</v>
      </c>
      <c r="AA51" s="162" t="s">
        <v>366</v>
      </c>
      <c r="AB51" s="162" t="s">
        <v>367</v>
      </c>
      <c r="AC51" s="163">
        <v>42036</v>
      </c>
      <c r="AD51" s="163">
        <v>42369</v>
      </c>
      <c r="AE51" s="164" t="s">
        <v>368</v>
      </c>
      <c r="AF51" s="165" t="s">
        <v>369</v>
      </c>
      <c r="AG51" s="166">
        <v>0</v>
      </c>
      <c r="AH51" s="166">
        <v>4500</v>
      </c>
      <c r="AI51" s="166">
        <v>38290</v>
      </c>
      <c r="AJ51" s="166">
        <v>0</v>
      </c>
      <c r="AK51" s="166">
        <v>0</v>
      </c>
      <c r="AL51" s="166">
        <v>0</v>
      </c>
      <c r="AM51" s="166">
        <v>0</v>
      </c>
      <c r="AN51" s="166">
        <v>0</v>
      </c>
      <c r="AO51" s="166">
        <v>38412</v>
      </c>
      <c r="AP51" s="166">
        <v>42262.8</v>
      </c>
      <c r="AQ51" s="166">
        <v>57132.5</v>
      </c>
      <c r="AR51" s="166">
        <v>45849.599999999999</v>
      </c>
      <c r="AS51" s="167">
        <f t="shared" ref="AS51:AS59" si="28">SUM(AG51:AR51)</f>
        <v>226446.9</v>
      </c>
    </row>
    <row r="52" spans="1:45" ht="63.75" hidden="1">
      <c r="A52" s="174" t="s">
        <v>356</v>
      </c>
      <c r="B52" s="169">
        <v>2</v>
      </c>
      <c r="C52" s="180" t="s">
        <v>370</v>
      </c>
      <c r="D52" s="181" t="s">
        <v>206</v>
      </c>
      <c r="E52" s="180" t="s">
        <v>371</v>
      </c>
      <c r="F52" s="180" t="s">
        <v>372</v>
      </c>
      <c r="G52" s="180" t="s">
        <v>373</v>
      </c>
      <c r="H52" s="180" t="s">
        <v>372</v>
      </c>
      <c r="I52" s="180" t="s">
        <v>374</v>
      </c>
      <c r="J52" s="157"/>
      <c r="K52" s="157">
        <v>7000</v>
      </c>
      <c r="L52" s="158" t="s">
        <v>375</v>
      </c>
      <c r="M52" s="158"/>
      <c r="N52" s="158" t="s">
        <v>68</v>
      </c>
      <c r="O52" s="157"/>
      <c r="P52" s="157">
        <v>7000</v>
      </c>
      <c r="Q52" s="160">
        <f t="shared" ref="Q52:Q59" si="29">O52+P52</f>
        <v>7000</v>
      </c>
      <c r="R52" s="161">
        <v>7000</v>
      </c>
      <c r="S52" s="161"/>
      <c r="T52" s="161"/>
      <c r="U52" s="161"/>
      <c r="V52" s="161"/>
      <c r="W52" s="161"/>
      <c r="X52" s="161"/>
      <c r="Y52" s="160">
        <f t="shared" si="8"/>
        <v>7000</v>
      </c>
      <c r="Z52" s="162" t="s">
        <v>365</v>
      </c>
      <c r="AA52" s="162" t="s">
        <v>376</v>
      </c>
      <c r="AB52" s="162" t="s">
        <v>377</v>
      </c>
      <c r="AC52" s="163">
        <v>42095</v>
      </c>
      <c r="AD52" s="163">
        <v>42369</v>
      </c>
      <c r="AE52" s="164" t="s">
        <v>368</v>
      </c>
      <c r="AF52" s="165"/>
      <c r="AG52" s="166"/>
      <c r="AH52" s="166"/>
      <c r="AI52" s="166"/>
      <c r="AJ52" s="166">
        <v>1000</v>
      </c>
      <c r="AK52" s="166"/>
      <c r="AL52" s="166">
        <v>6000</v>
      </c>
      <c r="AM52" s="166"/>
      <c r="AN52" s="166"/>
      <c r="AO52" s="166"/>
      <c r="AP52" s="166"/>
      <c r="AQ52" s="166"/>
      <c r="AR52" s="166"/>
      <c r="AS52" s="167">
        <f t="shared" si="28"/>
        <v>7000</v>
      </c>
    </row>
    <row r="53" spans="1:45" ht="153" hidden="1">
      <c r="A53" s="174" t="s">
        <v>356</v>
      </c>
      <c r="B53" s="169">
        <v>3</v>
      </c>
      <c r="C53" s="182" t="s">
        <v>378</v>
      </c>
      <c r="D53" s="181" t="s">
        <v>206</v>
      </c>
      <c r="E53" s="180" t="s">
        <v>379</v>
      </c>
      <c r="F53" s="180" t="s">
        <v>380</v>
      </c>
      <c r="G53" s="180" t="s">
        <v>381</v>
      </c>
      <c r="H53" s="180" t="s">
        <v>380</v>
      </c>
      <c r="I53" s="180" t="s">
        <v>382</v>
      </c>
      <c r="J53" s="157"/>
      <c r="K53" s="157">
        <v>20000</v>
      </c>
      <c r="L53" s="158" t="s">
        <v>375</v>
      </c>
      <c r="M53" s="158" t="s">
        <v>114</v>
      </c>
      <c r="N53" s="158"/>
      <c r="O53" s="157"/>
      <c r="P53" s="157">
        <v>20000</v>
      </c>
      <c r="Q53" s="160">
        <f t="shared" si="29"/>
        <v>20000</v>
      </c>
      <c r="R53" s="161">
        <v>20000</v>
      </c>
      <c r="S53" s="161"/>
      <c r="T53" s="161"/>
      <c r="U53" s="161"/>
      <c r="V53" s="161"/>
      <c r="W53" s="161"/>
      <c r="X53" s="161"/>
      <c r="Y53" s="160">
        <f t="shared" si="8"/>
        <v>20000</v>
      </c>
      <c r="Z53" s="162" t="s">
        <v>365</v>
      </c>
      <c r="AA53" s="162" t="s">
        <v>376</v>
      </c>
      <c r="AB53" s="162" t="s">
        <v>377</v>
      </c>
      <c r="AC53" s="163">
        <v>42064</v>
      </c>
      <c r="AD53" s="163">
        <v>42369</v>
      </c>
      <c r="AE53" s="164" t="s">
        <v>368</v>
      </c>
      <c r="AF53" s="165" t="s">
        <v>383</v>
      </c>
      <c r="AG53" s="166"/>
      <c r="AH53" s="166"/>
      <c r="AI53" s="166">
        <v>10000</v>
      </c>
      <c r="AJ53" s="166"/>
      <c r="AK53" s="166"/>
      <c r="AL53" s="166">
        <v>10000</v>
      </c>
      <c r="AM53" s="166"/>
      <c r="AN53" s="166"/>
      <c r="AO53" s="166"/>
      <c r="AP53" s="166"/>
      <c r="AQ53" s="166"/>
      <c r="AR53" s="166"/>
      <c r="AS53" s="167">
        <f t="shared" si="28"/>
        <v>20000</v>
      </c>
    </row>
    <row r="54" spans="1:45" ht="89.25" hidden="1">
      <c r="A54" s="174" t="s">
        <v>356</v>
      </c>
      <c r="B54" s="169">
        <v>4</v>
      </c>
      <c r="C54" s="176" t="s">
        <v>384</v>
      </c>
      <c r="D54" s="181" t="s">
        <v>206</v>
      </c>
      <c r="E54" s="180" t="s">
        <v>385</v>
      </c>
      <c r="F54" s="182" t="s">
        <v>386</v>
      </c>
      <c r="G54" s="180" t="s">
        <v>387</v>
      </c>
      <c r="H54" s="180" t="s">
        <v>388</v>
      </c>
      <c r="I54" s="180" t="s">
        <v>389</v>
      </c>
      <c r="J54" s="157">
        <v>21000</v>
      </c>
      <c r="K54" s="157"/>
      <c r="L54" s="158" t="s">
        <v>375</v>
      </c>
      <c r="M54" s="158" t="s">
        <v>114</v>
      </c>
      <c r="N54" s="158"/>
      <c r="O54" s="157"/>
      <c r="P54" s="157">
        <v>21000</v>
      </c>
      <c r="Q54" s="160">
        <f t="shared" si="29"/>
        <v>21000</v>
      </c>
      <c r="R54" s="161">
        <v>21000</v>
      </c>
      <c r="S54" s="161"/>
      <c r="T54" s="161"/>
      <c r="U54" s="161"/>
      <c r="V54" s="161"/>
      <c r="W54" s="161"/>
      <c r="X54" s="161"/>
      <c r="Y54" s="160">
        <f t="shared" si="8"/>
        <v>21000</v>
      </c>
      <c r="Z54" s="162" t="s">
        <v>365</v>
      </c>
      <c r="AA54" s="162" t="s">
        <v>376</v>
      </c>
      <c r="AB54" s="162" t="s">
        <v>377</v>
      </c>
      <c r="AC54" s="163">
        <v>42005</v>
      </c>
      <c r="AD54" s="163">
        <v>42369</v>
      </c>
      <c r="AE54" s="164" t="s">
        <v>390</v>
      </c>
      <c r="AF54" s="165" t="s">
        <v>391</v>
      </c>
      <c r="AG54" s="166"/>
      <c r="AH54" s="166"/>
      <c r="AI54" s="166">
        <v>11000</v>
      </c>
      <c r="AJ54" s="166"/>
      <c r="AK54" s="166"/>
      <c r="AL54" s="166">
        <v>10000</v>
      </c>
      <c r="AM54" s="166"/>
      <c r="AN54" s="166"/>
      <c r="AO54" s="166"/>
      <c r="AP54" s="166"/>
      <c r="AQ54" s="166"/>
      <c r="AR54" s="166"/>
      <c r="AS54" s="167">
        <f t="shared" si="28"/>
        <v>21000</v>
      </c>
    </row>
    <row r="55" spans="1:45" ht="76.5" hidden="1">
      <c r="A55" s="174" t="s">
        <v>356</v>
      </c>
      <c r="B55" s="169">
        <v>5</v>
      </c>
      <c r="C55" s="180" t="s">
        <v>392</v>
      </c>
      <c r="D55" s="181" t="s">
        <v>206</v>
      </c>
      <c r="E55" s="180" t="s">
        <v>393</v>
      </c>
      <c r="F55" s="180" t="s">
        <v>394</v>
      </c>
      <c r="G55" s="180" t="s">
        <v>395</v>
      </c>
      <c r="H55" s="180" t="s">
        <v>394</v>
      </c>
      <c r="I55" s="180" t="s">
        <v>396</v>
      </c>
      <c r="J55" s="157">
        <v>2000</v>
      </c>
      <c r="K55" s="157"/>
      <c r="L55" s="158" t="s">
        <v>375</v>
      </c>
      <c r="M55" s="158"/>
      <c r="N55" s="158" t="s">
        <v>68</v>
      </c>
      <c r="O55" s="157">
        <v>2000</v>
      </c>
      <c r="P55" s="157"/>
      <c r="Q55" s="160">
        <f t="shared" si="29"/>
        <v>2000</v>
      </c>
      <c r="R55" s="161">
        <v>2000</v>
      </c>
      <c r="S55" s="161"/>
      <c r="T55" s="161"/>
      <c r="U55" s="161"/>
      <c r="V55" s="161"/>
      <c r="W55" s="161"/>
      <c r="X55" s="161"/>
      <c r="Y55" s="160">
        <f t="shared" si="8"/>
        <v>2000</v>
      </c>
      <c r="Z55" s="162" t="s">
        <v>365</v>
      </c>
      <c r="AA55" s="162" t="s">
        <v>376</v>
      </c>
      <c r="AB55" s="162" t="s">
        <v>377</v>
      </c>
      <c r="AC55" s="163">
        <v>42005</v>
      </c>
      <c r="AD55" s="163">
        <v>42369</v>
      </c>
      <c r="AE55" s="164" t="s">
        <v>368</v>
      </c>
      <c r="AF55" s="165"/>
      <c r="AG55" s="166"/>
      <c r="AH55" s="166"/>
      <c r="AI55" s="166">
        <v>2000</v>
      </c>
      <c r="AJ55" s="166"/>
      <c r="AK55" s="166"/>
      <c r="AL55" s="166"/>
      <c r="AM55" s="166"/>
      <c r="AN55" s="166"/>
      <c r="AO55" s="166"/>
      <c r="AP55" s="166"/>
      <c r="AQ55" s="166"/>
      <c r="AR55" s="166"/>
      <c r="AS55" s="167">
        <f t="shared" si="28"/>
        <v>2000</v>
      </c>
    </row>
    <row r="56" spans="1:45" ht="96" hidden="1" customHeight="1">
      <c r="A56" s="174" t="s">
        <v>356</v>
      </c>
      <c r="B56" s="169">
        <v>6</v>
      </c>
      <c r="C56" s="183" t="s">
        <v>397</v>
      </c>
      <c r="D56" s="184" t="s">
        <v>206</v>
      </c>
      <c r="E56" s="179" t="s">
        <v>398</v>
      </c>
      <c r="F56" s="178" t="s">
        <v>399</v>
      </c>
      <c r="G56" s="178" t="s">
        <v>400</v>
      </c>
      <c r="H56" s="178" t="s">
        <v>401</v>
      </c>
      <c r="I56" s="179" t="s">
        <v>402</v>
      </c>
      <c r="J56" s="157">
        <v>13000</v>
      </c>
      <c r="K56" s="157"/>
      <c r="L56" s="158" t="s">
        <v>403</v>
      </c>
      <c r="M56" s="158" t="s">
        <v>68</v>
      </c>
      <c r="N56" s="158"/>
      <c r="O56" s="157">
        <v>1000</v>
      </c>
      <c r="P56" s="157">
        <v>12000</v>
      </c>
      <c r="Q56" s="160">
        <f t="shared" si="29"/>
        <v>13000</v>
      </c>
      <c r="R56" s="161">
        <v>13000</v>
      </c>
      <c r="S56" s="161"/>
      <c r="T56" s="161"/>
      <c r="U56" s="161"/>
      <c r="V56" s="161"/>
      <c r="W56" s="161"/>
      <c r="X56" s="161"/>
      <c r="Y56" s="160">
        <f t="shared" si="8"/>
        <v>13000</v>
      </c>
      <c r="Z56" s="162" t="s">
        <v>365</v>
      </c>
      <c r="AA56" s="162" t="s">
        <v>404</v>
      </c>
      <c r="AB56" s="162" t="s">
        <v>405</v>
      </c>
      <c r="AC56" s="163">
        <v>42036</v>
      </c>
      <c r="AD56" s="163">
        <v>42369</v>
      </c>
      <c r="AE56" s="164" t="s">
        <v>406</v>
      </c>
      <c r="AF56" s="165"/>
      <c r="AG56" s="166"/>
      <c r="AH56" s="166">
        <v>1000</v>
      </c>
      <c r="AI56" s="166"/>
      <c r="AJ56" s="166">
        <v>6000</v>
      </c>
      <c r="AK56" s="166"/>
      <c r="AL56" s="166"/>
      <c r="AM56" s="166"/>
      <c r="AN56" s="166">
        <v>6000</v>
      </c>
      <c r="AO56" s="166"/>
      <c r="AP56" s="166"/>
      <c r="AQ56" s="166"/>
      <c r="AR56" s="166"/>
      <c r="AS56" s="167">
        <f t="shared" si="28"/>
        <v>13000</v>
      </c>
    </row>
    <row r="57" spans="1:45" ht="102" hidden="1">
      <c r="A57" s="174" t="s">
        <v>356</v>
      </c>
      <c r="B57" s="169">
        <v>7</v>
      </c>
      <c r="C57" s="179" t="s">
        <v>407</v>
      </c>
      <c r="D57" s="184" t="s">
        <v>206</v>
      </c>
      <c r="E57" s="179" t="s">
        <v>408</v>
      </c>
      <c r="F57" s="178" t="s">
        <v>409</v>
      </c>
      <c r="G57" s="178" t="s">
        <v>409</v>
      </c>
      <c r="H57" s="179" t="s">
        <v>410</v>
      </c>
      <c r="I57" s="179" t="s">
        <v>411</v>
      </c>
      <c r="J57" s="157">
        <v>14067.15</v>
      </c>
      <c r="K57" s="157"/>
      <c r="L57" s="158" t="s">
        <v>403</v>
      </c>
      <c r="M57" s="158" t="s">
        <v>68</v>
      </c>
      <c r="N57" s="158"/>
      <c r="O57" s="157"/>
      <c r="P57" s="157">
        <v>14067.15</v>
      </c>
      <c r="Q57" s="160">
        <v>14067.15</v>
      </c>
      <c r="R57" s="161">
        <v>14067.15</v>
      </c>
      <c r="S57" s="161"/>
      <c r="T57" s="161"/>
      <c r="U57" s="161"/>
      <c r="V57" s="161"/>
      <c r="W57" s="161"/>
      <c r="X57" s="161"/>
      <c r="Y57" s="160">
        <f t="shared" si="8"/>
        <v>14067.15</v>
      </c>
      <c r="Z57" s="162" t="s">
        <v>365</v>
      </c>
      <c r="AA57" s="162" t="s">
        <v>404</v>
      </c>
      <c r="AB57" s="162" t="s">
        <v>412</v>
      </c>
      <c r="AC57" s="163">
        <v>42036</v>
      </c>
      <c r="AD57" s="163">
        <v>42369</v>
      </c>
      <c r="AE57" s="164" t="s">
        <v>368</v>
      </c>
      <c r="AF57" s="165"/>
      <c r="AG57" s="166"/>
      <c r="AH57" s="166">
        <v>3000</v>
      </c>
      <c r="AI57" s="166"/>
      <c r="AJ57" s="166"/>
      <c r="AK57" s="166">
        <v>6067.15</v>
      </c>
      <c r="AL57" s="166"/>
      <c r="AM57" s="166"/>
      <c r="AN57" s="166"/>
      <c r="AO57" s="166">
        <v>5000</v>
      </c>
      <c r="AP57" s="166"/>
      <c r="AQ57" s="166"/>
      <c r="AR57" s="166"/>
      <c r="AS57" s="167">
        <f t="shared" si="28"/>
        <v>14067.15</v>
      </c>
    </row>
    <row r="58" spans="1:45" ht="51" hidden="1">
      <c r="A58" s="174" t="s">
        <v>356</v>
      </c>
      <c r="B58" s="169">
        <v>8</v>
      </c>
      <c r="C58" s="185" t="s">
        <v>413</v>
      </c>
      <c r="D58" s="184" t="s">
        <v>206</v>
      </c>
      <c r="E58" s="175" t="s">
        <v>414</v>
      </c>
      <c r="F58" s="185" t="s">
        <v>415</v>
      </c>
      <c r="G58" s="180" t="s">
        <v>416</v>
      </c>
      <c r="H58" s="180" t="s">
        <v>417</v>
      </c>
      <c r="I58" s="180" t="s">
        <v>418</v>
      </c>
      <c r="J58" s="157">
        <v>6000</v>
      </c>
      <c r="K58" s="157"/>
      <c r="L58" s="158" t="s">
        <v>403</v>
      </c>
      <c r="M58" s="158" t="s">
        <v>68</v>
      </c>
      <c r="N58" s="158"/>
      <c r="O58" s="157">
        <v>2000</v>
      </c>
      <c r="P58" s="157">
        <v>4000</v>
      </c>
      <c r="Q58" s="160">
        <f t="shared" si="29"/>
        <v>6000</v>
      </c>
      <c r="R58" s="161">
        <v>6000</v>
      </c>
      <c r="S58" s="161"/>
      <c r="T58" s="161"/>
      <c r="U58" s="161"/>
      <c r="V58" s="161"/>
      <c r="W58" s="161"/>
      <c r="X58" s="161"/>
      <c r="Y58" s="160">
        <f t="shared" si="8"/>
        <v>6000</v>
      </c>
      <c r="Z58" s="162" t="s">
        <v>365</v>
      </c>
      <c r="AA58" s="162" t="s">
        <v>404</v>
      </c>
      <c r="AB58" s="162" t="s">
        <v>412</v>
      </c>
      <c r="AC58" s="163">
        <v>42036</v>
      </c>
      <c r="AD58" s="163">
        <v>42369</v>
      </c>
      <c r="AE58" s="164" t="s">
        <v>406</v>
      </c>
      <c r="AF58" s="165"/>
      <c r="AG58" s="166"/>
      <c r="AH58" s="166">
        <v>2000</v>
      </c>
      <c r="AI58" s="166"/>
      <c r="AJ58" s="166"/>
      <c r="AK58" s="166"/>
      <c r="AL58" s="166"/>
      <c r="AM58" s="166">
        <v>4000</v>
      </c>
      <c r="AN58" s="166"/>
      <c r="AO58" s="166"/>
      <c r="AP58" s="166"/>
      <c r="AQ58" s="166"/>
      <c r="AR58" s="166"/>
      <c r="AS58" s="167">
        <f t="shared" si="28"/>
        <v>6000</v>
      </c>
    </row>
    <row r="59" spans="1:45" ht="46.5" hidden="1" customHeight="1">
      <c r="A59" s="174" t="s">
        <v>356</v>
      </c>
      <c r="B59" s="169">
        <v>9</v>
      </c>
      <c r="C59" s="185" t="s">
        <v>419</v>
      </c>
      <c r="D59" s="184" t="s">
        <v>206</v>
      </c>
      <c r="E59" s="175" t="s">
        <v>414</v>
      </c>
      <c r="F59" s="175" t="s">
        <v>420</v>
      </c>
      <c r="G59" s="175" t="s">
        <v>421</v>
      </c>
      <c r="H59" s="185" t="s">
        <v>422</v>
      </c>
      <c r="I59" s="176" t="s">
        <v>423</v>
      </c>
      <c r="J59" s="157">
        <v>5000</v>
      </c>
      <c r="K59" s="157"/>
      <c r="L59" s="158" t="s">
        <v>403</v>
      </c>
      <c r="M59" s="158" t="s">
        <v>68</v>
      </c>
      <c r="N59" s="158"/>
      <c r="O59" s="157">
        <v>5000</v>
      </c>
      <c r="P59" s="157"/>
      <c r="Q59" s="160">
        <f t="shared" si="29"/>
        <v>5000</v>
      </c>
      <c r="R59" s="161">
        <v>5000</v>
      </c>
      <c r="S59" s="161"/>
      <c r="T59" s="161"/>
      <c r="U59" s="161"/>
      <c r="V59" s="161"/>
      <c r="W59" s="161"/>
      <c r="X59" s="161"/>
      <c r="Y59" s="160">
        <f t="shared" si="8"/>
        <v>5000</v>
      </c>
      <c r="Z59" s="162" t="s">
        <v>365</v>
      </c>
      <c r="AA59" s="162" t="s">
        <v>404</v>
      </c>
      <c r="AB59" s="162" t="s">
        <v>405</v>
      </c>
      <c r="AC59" s="163">
        <v>42064</v>
      </c>
      <c r="AD59" s="163">
        <v>42369</v>
      </c>
      <c r="AE59" s="164" t="s">
        <v>424</v>
      </c>
      <c r="AF59" s="165"/>
      <c r="AG59" s="166"/>
      <c r="AH59" s="166"/>
      <c r="AI59" s="166">
        <v>5000</v>
      </c>
      <c r="AJ59" s="166"/>
      <c r="AK59" s="166"/>
      <c r="AL59" s="166"/>
      <c r="AM59" s="166"/>
      <c r="AN59" s="166"/>
      <c r="AO59" s="166"/>
      <c r="AP59" s="166"/>
      <c r="AQ59" s="166"/>
      <c r="AR59" s="166"/>
      <c r="AS59" s="167">
        <f t="shared" si="28"/>
        <v>5000</v>
      </c>
    </row>
    <row r="60" spans="1:45" ht="84" hidden="1" customHeight="1">
      <c r="A60" s="174" t="s">
        <v>356</v>
      </c>
      <c r="B60" s="169">
        <v>10</v>
      </c>
      <c r="C60" s="183" t="s">
        <v>425</v>
      </c>
      <c r="D60" s="186" t="s">
        <v>426</v>
      </c>
      <c r="E60" s="179" t="s">
        <v>427</v>
      </c>
      <c r="F60" s="178" t="s">
        <v>428</v>
      </c>
      <c r="G60" s="178" t="s">
        <v>429</v>
      </c>
      <c r="H60" s="179" t="s">
        <v>430</v>
      </c>
      <c r="I60" s="179" t="s">
        <v>431</v>
      </c>
      <c r="J60" s="157">
        <v>20000</v>
      </c>
      <c r="K60" s="157"/>
      <c r="L60" s="158" t="s">
        <v>432</v>
      </c>
      <c r="M60" s="158" t="s">
        <v>68</v>
      </c>
      <c r="N60" s="158"/>
      <c r="O60" s="157"/>
      <c r="P60" s="157">
        <v>20000</v>
      </c>
      <c r="Q60" s="160">
        <f>SUM(O60:P60)</f>
        <v>20000</v>
      </c>
      <c r="R60" s="161">
        <v>20000</v>
      </c>
      <c r="S60" s="161"/>
      <c r="T60" s="161"/>
      <c r="U60" s="161"/>
      <c r="V60" s="161"/>
      <c r="W60" s="161"/>
      <c r="X60" s="161"/>
      <c r="Y60" s="160">
        <f t="shared" si="8"/>
        <v>20000</v>
      </c>
      <c r="Z60" s="162" t="s">
        <v>433</v>
      </c>
      <c r="AA60" s="162" t="s">
        <v>434</v>
      </c>
      <c r="AB60" s="162" t="s">
        <v>435</v>
      </c>
      <c r="AC60" s="163">
        <v>42064</v>
      </c>
      <c r="AD60" s="163">
        <v>42278</v>
      </c>
      <c r="AE60" s="164" t="s">
        <v>436</v>
      </c>
      <c r="AF60" s="165" t="s">
        <v>437</v>
      </c>
      <c r="AG60" s="166"/>
      <c r="AH60" s="166"/>
      <c r="AI60" s="166">
        <v>20000</v>
      </c>
      <c r="AJ60" s="166"/>
      <c r="AK60" s="166"/>
      <c r="AL60" s="166"/>
      <c r="AM60" s="166"/>
      <c r="AN60" s="166"/>
      <c r="AO60" s="166"/>
      <c r="AP60" s="166"/>
      <c r="AQ60" s="166"/>
      <c r="AR60" s="166"/>
      <c r="AS60" s="167">
        <f>SUM(AG60:AR60)</f>
        <v>20000</v>
      </c>
    </row>
    <row r="61" spans="1:45" ht="57.75" hidden="1" customHeight="1">
      <c r="A61" s="174" t="s">
        <v>356</v>
      </c>
      <c r="B61" s="169">
        <v>11</v>
      </c>
      <c r="C61" s="176" t="s">
        <v>438</v>
      </c>
      <c r="D61" s="186" t="s">
        <v>426</v>
      </c>
      <c r="E61" s="178" t="s">
        <v>439</v>
      </c>
      <c r="F61" s="178" t="s">
        <v>440</v>
      </c>
      <c r="G61" s="178" t="s">
        <v>441</v>
      </c>
      <c r="H61" s="178" t="s">
        <v>442</v>
      </c>
      <c r="I61" s="179" t="s">
        <v>443</v>
      </c>
      <c r="J61" s="157">
        <v>15000</v>
      </c>
      <c r="K61" s="157"/>
      <c r="L61" s="158" t="s">
        <v>444</v>
      </c>
      <c r="M61" s="158" t="s">
        <v>114</v>
      </c>
      <c r="N61" s="158"/>
      <c r="O61" s="157"/>
      <c r="P61" s="157">
        <v>15000</v>
      </c>
      <c r="Q61" s="160">
        <f t="shared" ref="Q61:Q62" si="30">SUM(O61:P61)</f>
        <v>15000</v>
      </c>
      <c r="R61" s="161">
        <v>15000</v>
      </c>
      <c r="S61" s="161"/>
      <c r="T61" s="161"/>
      <c r="U61" s="161"/>
      <c r="V61" s="161"/>
      <c r="W61" s="161"/>
      <c r="X61" s="161"/>
      <c r="Y61" s="160">
        <f t="shared" si="8"/>
        <v>15000</v>
      </c>
      <c r="Z61" s="162" t="s">
        <v>433</v>
      </c>
      <c r="AA61" s="162" t="s">
        <v>434</v>
      </c>
      <c r="AB61" s="162" t="s">
        <v>435</v>
      </c>
      <c r="AC61" s="163">
        <v>42064</v>
      </c>
      <c r="AD61" s="163">
        <v>42217</v>
      </c>
      <c r="AE61" s="164" t="s">
        <v>72</v>
      </c>
      <c r="AF61" s="165"/>
      <c r="AG61" s="166"/>
      <c r="AH61" s="166"/>
      <c r="AI61" s="166">
        <v>5000</v>
      </c>
      <c r="AJ61" s="166"/>
      <c r="AK61" s="166"/>
      <c r="AL61" s="166">
        <v>5000</v>
      </c>
      <c r="AM61" s="166"/>
      <c r="AN61" s="166">
        <v>5000</v>
      </c>
      <c r="AO61" s="166"/>
      <c r="AP61" s="166"/>
      <c r="AQ61" s="166"/>
      <c r="AR61" s="166"/>
      <c r="AS61" s="167">
        <f>SUM(AG61:AR61)</f>
        <v>15000</v>
      </c>
    </row>
    <row r="62" spans="1:45" ht="66.75" hidden="1" customHeight="1">
      <c r="A62" s="174" t="s">
        <v>356</v>
      </c>
      <c r="B62" s="169">
        <v>12</v>
      </c>
      <c r="C62" s="176" t="s">
        <v>445</v>
      </c>
      <c r="D62" s="178" t="s">
        <v>206</v>
      </c>
      <c r="E62" s="178" t="s">
        <v>446</v>
      </c>
      <c r="F62" s="178" t="s">
        <v>447</v>
      </c>
      <c r="G62" s="178" t="s">
        <v>448</v>
      </c>
      <c r="H62" s="179" t="s">
        <v>449</v>
      </c>
      <c r="I62" s="179" t="s">
        <v>450</v>
      </c>
      <c r="J62" s="157">
        <v>15000</v>
      </c>
      <c r="K62" s="157"/>
      <c r="L62" s="158" t="s">
        <v>451</v>
      </c>
      <c r="M62" s="158" t="s">
        <v>114</v>
      </c>
      <c r="N62" s="158"/>
      <c r="O62" s="157"/>
      <c r="P62" s="157">
        <v>15000</v>
      </c>
      <c r="Q62" s="160">
        <f t="shared" si="30"/>
        <v>15000</v>
      </c>
      <c r="R62" s="161">
        <v>15000</v>
      </c>
      <c r="S62" s="161"/>
      <c r="T62" s="161"/>
      <c r="U62" s="161"/>
      <c r="V62" s="161"/>
      <c r="W62" s="161"/>
      <c r="X62" s="161"/>
      <c r="Y62" s="160">
        <f t="shared" si="8"/>
        <v>15000</v>
      </c>
      <c r="Z62" s="162" t="s">
        <v>433</v>
      </c>
      <c r="AA62" s="162" t="s">
        <v>434</v>
      </c>
      <c r="AB62" s="162" t="s">
        <v>435</v>
      </c>
      <c r="AC62" s="163">
        <v>42064</v>
      </c>
      <c r="AD62" s="163">
        <v>42309</v>
      </c>
      <c r="AE62" s="164" t="s">
        <v>436</v>
      </c>
      <c r="AF62" s="165" t="s">
        <v>452</v>
      </c>
      <c r="AG62" s="166"/>
      <c r="AH62" s="166"/>
      <c r="AI62" s="166">
        <v>3000</v>
      </c>
      <c r="AJ62" s="166"/>
      <c r="AK62" s="166"/>
      <c r="AL62" s="166"/>
      <c r="AM62" s="166">
        <v>2000</v>
      </c>
      <c r="AN62" s="166">
        <v>8000</v>
      </c>
      <c r="AO62" s="166"/>
      <c r="AP62" s="166"/>
      <c r="AQ62" s="166">
        <v>2000</v>
      </c>
      <c r="AR62" s="166"/>
      <c r="AS62" s="167">
        <f t="shared" ref="AS62" si="31">SUM(AG62:AR62)</f>
        <v>15000</v>
      </c>
    </row>
    <row r="63" spans="1:45" ht="98.25" hidden="1" customHeight="1">
      <c r="A63" s="174" t="s">
        <v>356</v>
      </c>
      <c r="B63" s="169">
        <v>13</v>
      </c>
      <c r="C63" s="176" t="s">
        <v>453</v>
      </c>
      <c r="D63" s="178" t="s">
        <v>454</v>
      </c>
      <c r="E63" s="178" t="s">
        <v>455</v>
      </c>
      <c r="F63" s="175" t="s">
        <v>456</v>
      </c>
      <c r="G63" s="178" t="s">
        <v>457</v>
      </c>
      <c r="H63" s="179" t="s">
        <v>458</v>
      </c>
      <c r="I63" s="179" t="s">
        <v>459</v>
      </c>
      <c r="J63" s="157"/>
      <c r="K63" s="157">
        <v>19000</v>
      </c>
      <c r="L63" s="158" t="s">
        <v>460</v>
      </c>
      <c r="M63" s="158" t="s">
        <v>114</v>
      </c>
      <c r="N63" s="158"/>
      <c r="O63" s="157"/>
      <c r="P63" s="157">
        <v>19000</v>
      </c>
      <c r="Q63" s="160">
        <f>SUM(O63:P63)</f>
        <v>19000</v>
      </c>
      <c r="R63" s="161">
        <v>19000</v>
      </c>
      <c r="S63" s="161"/>
      <c r="T63" s="161"/>
      <c r="U63" s="161"/>
      <c r="V63" s="161"/>
      <c r="W63" s="161"/>
      <c r="X63" s="161"/>
      <c r="Y63" s="160">
        <f t="shared" si="8"/>
        <v>19000</v>
      </c>
      <c r="Z63" s="162" t="s">
        <v>433</v>
      </c>
      <c r="AA63" s="162" t="s">
        <v>434</v>
      </c>
      <c r="AB63" s="162" t="s">
        <v>461</v>
      </c>
      <c r="AC63" s="163">
        <v>42064</v>
      </c>
      <c r="AD63" s="163">
        <v>42156</v>
      </c>
      <c r="AE63" s="164" t="s">
        <v>368</v>
      </c>
      <c r="AF63" s="165"/>
      <c r="AG63" s="166"/>
      <c r="AH63" s="166"/>
      <c r="AI63" s="166">
        <v>5000</v>
      </c>
      <c r="AJ63" s="166">
        <v>8000</v>
      </c>
      <c r="AK63" s="166"/>
      <c r="AL63" s="166">
        <v>6000</v>
      </c>
      <c r="AM63" s="166"/>
      <c r="AN63" s="166"/>
      <c r="AO63" s="166"/>
      <c r="AP63" s="166"/>
      <c r="AQ63" s="166"/>
      <c r="AR63" s="166"/>
      <c r="AS63" s="167">
        <f>SUM(AG63:AR63)</f>
        <v>19000</v>
      </c>
    </row>
    <row r="64" spans="1:45" ht="50.25" hidden="1" customHeight="1">
      <c r="A64" s="174" t="s">
        <v>356</v>
      </c>
      <c r="B64" s="169">
        <v>14</v>
      </c>
      <c r="C64" s="176" t="s">
        <v>462</v>
      </c>
      <c r="D64" s="178" t="s">
        <v>426</v>
      </c>
      <c r="E64" s="178" t="s">
        <v>463</v>
      </c>
      <c r="F64" s="178" t="s">
        <v>464</v>
      </c>
      <c r="G64" s="178" t="s">
        <v>465</v>
      </c>
      <c r="H64" s="179" t="s">
        <v>466</v>
      </c>
      <c r="I64" s="179" t="s">
        <v>467</v>
      </c>
      <c r="J64" s="157">
        <v>13000</v>
      </c>
      <c r="K64" s="157"/>
      <c r="L64" s="158" t="s">
        <v>451</v>
      </c>
      <c r="M64" s="158"/>
      <c r="N64" s="158" t="s">
        <v>68</v>
      </c>
      <c r="O64" s="157">
        <v>2000</v>
      </c>
      <c r="P64" s="157">
        <v>11000</v>
      </c>
      <c r="Q64" s="160">
        <f t="shared" ref="Q64" si="32">SUM(O64:P64)</f>
        <v>13000</v>
      </c>
      <c r="R64" s="161">
        <v>13000</v>
      </c>
      <c r="S64" s="161"/>
      <c r="T64" s="161"/>
      <c r="U64" s="161"/>
      <c r="V64" s="161"/>
      <c r="W64" s="161"/>
      <c r="X64" s="161"/>
      <c r="Y64" s="160">
        <f t="shared" si="8"/>
        <v>13000</v>
      </c>
      <c r="Z64" s="162" t="s">
        <v>433</v>
      </c>
      <c r="AA64" s="162" t="s">
        <v>434</v>
      </c>
      <c r="AB64" s="162" t="s">
        <v>435</v>
      </c>
      <c r="AC64" s="163">
        <v>42064</v>
      </c>
      <c r="AD64" s="163">
        <v>42156</v>
      </c>
      <c r="AE64" s="164" t="s">
        <v>368</v>
      </c>
      <c r="AF64" s="165"/>
      <c r="AG64" s="166"/>
      <c r="AH64" s="166"/>
      <c r="AI64" s="166">
        <v>4000</v>
      </c>
      <c r="AJ64" s="166"/>
      <c r="AK64" s="166">
        <v>9000</v>
      </c>
      <c r="AL64" s="166"/>
      <c r="AM64" s="166"/>
      <c r="AN64" s="166"/>
      <c r="AO64" s="166"/>
      <c r="AP64" s="166"/>
      <c r="AQ64" s="166"/>
      <c r="AR64" s="166"/>
      <c r="AS64" s="167">
        <f t="shared" ref="AS64:AS65" si="33">SUM(AG64:AR64)</f>
        <v>13000</v>
      </c>
    </row>
    <row r="65" spans="1:45" ht="94.5" hidden="1" customHeight="1">
      <c r="A65" s="174" t="s">
        <v>356</v>
      </c>
      <c r="B65" s="169">
        <v>15</v>
      </c>
      <c r="C65" s="176" t="s">
        <v>468</v>
      </c>
      <c r="D65" s="178" t="s">
        <v>206</v>
      </c>
      <c r="E65" s="178" t="s">
        <v>469</v>
      </c>
      <c r="F65" s="178" t="s">
        <v>470</v>
      </c>
      <c r="G65" s="178" t="s">
        <v>471</v>
      </c>
      <c r="H65" s="179" t="s">
        <v>472</v>
      </c>
      <c r="I65" s="179" t="s">
        <v>473</v>
      </c>
      <c r="J65" s="157">
        <v>144646.9</v>
      </c>
      <c r="K65" s="157"/>
      <c r="L65" s="158" t="s">
        <v>451</v>
      </c>
      <c r="M65" s="158" t="s">
        <v>114</v>
      </c>
      <c r="N65" s="158"/>
      <c r="O65" s="157"/>
      <c r="P65" s="157">
        <v>144646.9</v>
      </c>
      <c r="Q65" s="160">
        <f>O65+P65</f>
        <v>144646.9</v>
      </c>
      <c r="R65" s="161">
        <v>144646.9</v>
      </c>
      <c r="S65" s="161"/>
      <c r="T65" s="161"/>
      <c r="U65" s="161"/>
      <c r="V65" s="161"/>
      <c r="W65" s="161"/>
      <c r="X65" s="161"/>
      <c r="Y65" s="160">
        <f t="shared" si="8"/>
        <v>144646.9</v>
      </c>
      <c r="Z65" s="162" t="s">
        <v>433</v>
      </c>
      <c r="AA65" s="162" t="s">
        <v>434</v>
      </c>
      <c r="AB65" s="162" t="s">
        <v>435</v>
      </c>
      <c r="AC65" s="163">
        <v>42064</v>
      </c>
      <c r="AD65" s="163">
        <v>42369</v>
      </c>
      <c r="AE65" s="164" t="s">
        <v>368</v>
      </c>
      <c r="AF65" s="165" t="s">
        <v>437</v>
      </c>
      <c r="AG65" s="166"/>
      <c r="AH65" s="166"/>
      <c r="AI65" s="166">
        <v>36000</v>
      </c>
      <c r="AJ65" s="166">
        <v>15200</v>
      </c>
      <c r="AK65" s="166">
        <v>10446.9</v>
      </c>
      <c r="AL65" s="166">
        <v>17000</v>
      </c>
      <c r="AM65" s="166">
        <v>19000</v>
      </c>
      <c r="AN65" s="166">
        <v>5000</v>
      </c>
      <c r="AO65" s="166">
        <v>14000</v>
      </c>
      <c r="AP65" s="166">
        <v>17000</v>
      </c>
      <c r="AQ65" s="166">
        <v>4000</v>
      </c>
      <c r="AR65" s="166">
        <v>7000</v>
      </c>
      <c r="AS65" s="167">
        <f t="shared" si="33"/>
        <v>144646.9</v>
      </c>
    </row>
    <row r="66" spans="1:45" ht="123" hidden="1" customHeight="1">
      <c r="A66" s="174" t="s">
        <v>356</v>
      </c>
      <c r="B66" s="169">
        <v>16</v>
      </c>
      <c r="C66" s="176" t="s">
        <v>474</v>
      </c>
      <c r="D66" s="178" t="s">
        <v>162</v>
      </c>
      <c r="E66" s="178" t="s">
        <v>475</v>
      </c>
      <c r="F66" s="178" t="s">
        <v>476</v>
      </c>
      <c r="G66" s="178" t="s">
        <v>477</v>
      </c>
      <c r="H66" s="179" t="s">
        <v>478</v>
      </c>
      <c r="I66" s="179" t="s">
        <v>479</v>
      </c>
      <c r="J66" s="157"/>
      <c r="K66" s="157">
        <v>60000</v>
      </c>
      <c r="L66" s="158"/>
      <c r="M66" s="158" t="s">
        <v>68</v>
      </c>
      <c r="N66" s="158"/>
      <c r="O66" s="157">
        <v>5000</v>
      </c>
      <c r="P66" s="157">
        <v>55000</v>
      </c>
      <c r="Q66" s="160">
        <f>SUM(O66:P66)</f>
        <v>60000</v>
      </c>
      <c r="R66" s="161">
        <f>+Q66</f>
        <v>60000</v>
      </c>
      <c r="S66" s="161"/>
      <c r="T66" s="161"/>
      <c r="U66" s="161"/>
      <c r="V66" s="161"/>
      <c r="W66" s="161"/>
      <c r="X66" s="161"/>
      <c r="Y66" s="160">
        <f>SUM(R66:X66)</f>
        <v>60000</v>
      </c>
      <c r="Z66" s="162" t="s">
        <v>365</v>
      </c>
      <c r="AA66" s="162" t="s">
        <v>480</v>
      </c>
      <c r="AB66" s="162"/>
      <c r="AC66" s="163">
        <v>42064</v>
      </c>
      <c r="AD66" s="163">
        <v>42369</v>
      </c>
      <c r="AE66" s="164" t="s">
        <v>337</v>
      </c>
      <c r="AF66" s="165"/>
      <c r="AG66" s="166"/>
      <c r="AH66" s="166"/>
      <c r="AI66" s="166">
        <v>5000</v>
      </c>
      <c r="AJ66" s="166"/>
      <c r="AK66" s="166"/>
      <c r="AL66" s="166">
        <v>55000</v>
      </c>
      <c r="AM66" s="166"/>
      <c r="AN66" s="166"/>
      <c r="AO66" s="166"/>
      <c r="AP66" s="166"/>
      <c r="AQ66" s="166"/>
      <c r="AR66" s="166"/>
      <c r="AS66" s="167">
        <v>60000</v>
      </c>
    </row>
    <row r="67" spans="1:45" ht="143.25" hidden="1" customHeight="1">
      <c r="A67" s="174" t="s">
        <v>356</v>
      </c>
      <c r="B67" s="169">
        <v>17</v>
      </c>
      <c r="C67" s="176" t="s">
        <v>481</v>
      </c>
      <c r="D67" s="178" t="s">
        <v>162</v>
      </c>
      <c r="E67" s="178"/>
      <c r="F67" s="178" t="s">
        <v>482</v>
      </c>
      <c r="G67" s="178" t="s">
        <v>483</v>
      </c>
      <c r="H67" s="179" t="s">
        <v>484</v>
      </c>
      <c r="I67" s="179" t="s">
        <v>485</v>
      </c>
      <c r="J67" s="157">
        <v>666000</v>
      </c>
      <c r="K67" s="157"/>
      <c r="L67" s="158"/>
      <c r="M67" s="158"/>
      <c r="N67" s="158"/>
      <c r="O67" s="157"/>
      <c r="P67" s="157">
        <v>666000</v>
      </c>
      <c r="Q67" s="160">
        <f>SUM(O67:P67)</f>
        <v>666000</v>
      </c>
      <c r="R67" s="161">
        <v>666000</v>
      </c>
      <c r="S67" s="161"/>
      <c r="T67" s="161"/>
      <c r="U67" s="161"/>
      <c r="V67" s="161"/>
      <c r="W67" s="161"/>
      <c r="X67" s="161"/>
      <c r="Y67" s="160">
        <f>SUM(R67:X67)</f>
        <v>666000</v>
      </c>
      <c r="Z67" s="162" t="s">
        <v>356</v>
      </c>
      <c r="AA67" s="162" t="s">
        <v>486</v>
      </c>
      <c r="AB67" s="162" t="s">
        <v>487</v>
      </c>
      <c r="AC67" s="163">
        <v>42005</v>
      </c>
      <c r="AD67" s="163">
        <v>42339</v>
      </c>
      <c r="AE67" s="164" t="s">
        <v>488</v>
      </c>
      <c r="AF67" s="165" t="s">
        <v>489</v>
      </c>
      <c r="AG67" s="166">
        <v>6500</v>
      </c>
      <c r="AH67" s="166">
        <v>6500</v>
      </c>
      <c r="AI67" s="166">
        <v>7500</v>
      </c>
      <c r="AJ67" s="166">
        <v>8500</v>
      </c>
      <c r="AK67" s="166">
        <v>11500</v>
      </c>
      <c r="AL67" s="166">
        <v>123831.44</v>
      </c>
      <c r="AM67" s="166">
        <v>190121.44</v>
      </c>
      <c r="AN67" s="166">
        <v>80581.440000000002</v>
      </c>
      <c r="AO67" s="166">
        <v>88171.36</v>
      </c>
      <c r="AP67" s="166">
        <v>116131.44</v>
      </c>
      <c r="AQ67" s="166">
        <v>15081.44</v>
      </c>
      <c r="AR67" s="166">
        <v>11581.44</v>
      </c>
      <c r="AS67" s="167">
        <f>SUM(AG67:AR67)</f>
        <v>665999.99999999988</v>
      </c>
    </row>
    <row r="68" spans="1:45" hidden="1">
      <c r="A68" s="187"/>
      <c r="B68" s="171"/>
      <c r="C68" s="171"/>
      <c r="D68" s="171"/>
      <c r="E68" s="171"/>
      <c r="F68" s="171"/>
      <c r="G68" s="171"/>
      <c r="H68" s="171"/>
      <c r="I68" s="171"/>
      <c r="J68" s="173">
        <f>SUM(J51:J67)</f>
        <v>934714.05</v>
      </c>
      <c r="K68" s="173">
        <f t="shared" ref="K68:AR68" si="34">SUM(K51:K67)</f>
        <v>332446.90000000002</v>
      </c>
      <c r="L68" s="173">
        <f t="shared" si="34"/>
        <v>0</v>
      </c>
      <c r="M68" s="173">
        <f t="shared" si="34"/>
        <v>0</v>
      </c>
      <c r="N68" s="173">
        <f t="shared" si="34"/>
        <v>0</v>
      </c>
      <c r="O68" s="173">
        <f t="shared" si="34"/>
        <v>17000</v>
      </c>
      <c r="P68" s="173">
        <f t="shared" si="34"/>
        <v>1250160.9500000002</v>
      </c>
      <c r="Q68" s="173">
        <f t="shared" si="34"/>
        <v>1267160.9500000002</v>
      </c>
      <c r="R68" s="173">
        <f t="shared" si="34"/>
        <v>1041714.05</v>
      </c>
      <c r="S68" s="173">
        <f t="shared" si="34"/>
        <v>0</v>
      </c>
      <c r="T68" s="173">
        <f t="shared" si="34"/>
        <v>0</v>
      </c>
      <c r="U68" s="173">
        <f t="shared" si="34"/>
        <v>0</v>
      </c>
      <c r="V68" s="173">
        <f t="shared" si="34"/>
        <v>25446.9</v>
      </c>
      <c r="W68" s="173">
        <f t="shared" si="34"/>
        <v>0</v>
      </c>
      <c r="X68" s="173">
        <f t="shared" si="34"/>
        <v>200000</v>
      </c>
      <c r="Y68" s="173">
        <f t="shared" si="34"/>
        <v>1267160.9500000002</v>
      </c>
      <c r="Z68" s="173">
        <f t="shared" si="34"/>
        <v>0</v>
      </c>
      <c r="AA68" s="173">
        <f t="shared" si="34"/>
        <v>0</v>
      </c>
      <c r="AB68" s="173">
        <f t="shared" si="34"/>
        <v>0</v>
      </c>
      <c r="AC68" s="173"/>
      <c r="AD68" s="173"/>
      <c r="AE68" s="173">
        <f t="shared" si="34"/>
        <v>0</v>
      </c>
      <c r="AF68" s="173">
        <f t="shared" si="34"/>
        <v>0</v>
      </c>
      <c r="AG68" s="173">
        <f t="shared" si="34"/>
        <v>6500</v>
      </c>
      <c r="AH68" s="173">
        <f t="shared" si="34"/>
        <v>17000</v>
      </c>
      <c r="AI68" s="173">
        <f t="shared" si="34"/>
        <v>151790</v>
      </c>
      <c r="AJ68" s="173">
        <f t="shared" si="34"/>
        <v>38700</v>
      </c>
      <c r="AK68" s="173">
        <f t="shared" si="34"/>
        <v>37014.050000000003</v>
      </c>
      <c r="AL68" s="173">
        <f t="shared" si="34"/>
        <v>232831.44</v>
      </c>
      <c r="AM68" s="173">
        <f t="shared" si="34"/>
        <v>215121.44</v>
      </c>
      <c r="AN68" s="173">
        <f t="shared" si="34"/>
        <v>104581.44</v>
      </c>
      <c r="AO68" s="173">
        <f t="shared" si="34"/>
        <v>145583.35999999999</v>
      </c>
      <c r="AP68" s="173">
        <f t="shared" si="34"/>
        <v>175394.24</v>
      </c>
      <c r="AQ68" s="173">
        <f t="shared" si="34"/>
        <v>78213.94</v>
      </c>
      <c r="AR68" s="173">
        <f t="shared" si="34"/>
        <v>64431.040000000001</v>
      </c>
      <c r="AS68" s="173">
        <f>SUM(AS51:AS67)</f>
        <v>1267160.95</v>
      </c>
    </row>
    <row r="69" spans="1:45" ht="114.75" hidden="1">
      <c r="A69" s="188" t="s">
        <v>490</v>
      </c>
      <c r="B69" s="189">
        <v>1</v>
      </c>
      <c r="C69" s="190" t="s">
        <v>491</v>
      </c>
      <c r="D69" s="190" t="s">
        <v>206</v>
      </c>
      <c r="E69" s="156" t="s">
        <v>492</v>
      </c>
      <c r="F69" s="155" t="s">
        <v>493</v>
      </c>
      <c r="G69" s="155" t="s">
        <v>494</v>
      </c>
      <c r="H69" s="156" t="s">
        <v>495</v>
      </c>
      <c r="I69" s="156" t="s">
        <v>496</v>
      </c>
      <c r="J69" s="157">
        <v>7857.02</v>
      </c>
      <c r="K69" s="157"/>
      <c r="L69" s="158" t="s">
        <v>497</v>
      </c>
      <c r="M69" s="159" t="s">
        <v>68</v>
      </c>
      <c r="N69" s="159"/>
      <c r="O69" s="157"/>
      <c r="P69" s="157">
        <v>7857.02</v>
      </c>
      <c r="Q69" s="160">
        <f>SUM(O69:P69)</f>
        <v>7857.02</v>
      </c>
      <c r="R69" s="161">
        <v>7857.02</v>
      </c>
      <c r="S69" s="161"/>
      <c r="T69" s="161"/>
      <c r="U69" s="161"/>
      <c r="V69" s="161"/>
      <c r="W69" s="161"/>
      <c r="X69" s="161"/>
      <c r="Y69" s="160">
        <f t="shared" ref="Y69:Y90" si="35">SUM(R69:X69)</f>
        <v>7857.02</v>
      </c>
      <c r="Z69" s="162" t="s">
        <v>498</v>
      </c>
      <c r="AA69" s="162" t="s">
        <v>490</v>
      </c>
      <c r="AB69" s="162" t="s">
        <v>499</v>
      </c>
      <c r="AC69" s="163">
        <v>42037</v>
      </c>
      <c r="AD69" s="163">
        <v>42282</v>
      </c>
      <c r="AE69" s="164" t="s">
        <v>72</v>
      </c>
      <c r="AF69" s="191"/>
      <c r="AG69" s="166"/>
      <c r="AH69" s="192">
        <v>2619.0100000000002</v>
      </c>
      <c r="AI69" s="193"/>
      <c r="AJ69" s="194"/>
      <c r="AK69" s="166"/>
      <c r="AL69" s="195">
        <v>2619.0100000000002</v>
      </c>
      <c r="AM69" s="166"/>
      <c r="AN69" s="196"/>
      <c r="AO69" s="197"/>
      <c r="AP69" s="198">
        <v>2619.0100000000002</v>
      </c>
      <c r="AQ69" s="166"/>
      <c r="AR69" s="192"/>
      <c r="AS69" s="167">
        <f>SUM(AG69:AR69)</f>
        <v>7857.0300000000007</v>
      </c>
    </row>
    <row r="70" spans="1:45" hidden="1">
      <c r="A70" s="171"/>
      <c r="B70" s="172"/>
      <c r="C70" s="171"/>
      <c r="D70" s="171"/>
      <c r="E70" s="171"/>
      <c r="F70" s="171"/>
      <c r="G70" s="171"/>
      <c r="H70" s="171"/>
      <c r="I70" s="171"/>
      <c r="J70" s="173">
        <f>SUM(J69)</f>
        <v>7857.02</v>
      </c>
      <c r="K70" s="173">
        <f t="shared" ref="K70:AR70" si="36">SUM(K69)</f>
        <v>0</v>
      </c>
      <c r="L70" s="173">
        <f t="shared" si="36"/>
        <v>0</v>
      </c>
      <c r="M70" s="173">
        <f t="shared" si="36"/>
        <v>0</v>
      </c>
      <c r="N70" s="173">
        <f t="shared" si="36"/>
        <v>0</v>
      </c>
      <c r="O70" s="173">
        <f t="shared" si="36"/>
        <v>0</v>
      </c>
      <c r="P70" s="173">
        <f t="shared" si="36"/>
        <v>7857.02</v>
      </c>
      <c r="Q70" s="173">
        <f t="shared" si="36"/>
        <v>7857.02</v>
      </c>
      <c r="R70" s="173">
        <f t="shared" si="36"/>
        <v>7857.02</v>
      </c>
      <c r="S70" s="173">
        <f t="shared" si="36"/>
        <v>0</v>
      </c>
      <c r="T70" s="173">
        <f t="shared" si="36"/>
        <v>0</v>
      </c>
      <c r="U70" s="173">
        <f t="shared" si="36"/>
        <v>0</v>
      </c>
      <c r="V70" s="173">
        <f t="shared" si="36"/>
        <v>0</v>
      </c>
      <c r="W70" s="173">
        <f t="shared" si="36"/>
        <v>0</v>
      </c>
      <c r="X70" s="173">
        <f t="shared" si="36"/>
        <v>0</v>
      </c>
      <c r="Y70" s="173">
        <f t="shared" si="36"/>
        <v>7857.02</v>
      </c>
      <c r="Z70" s="173">
        <f t="shared" si="36"/>
        <v>0</v>
      </c>
      <c r="AA70" s="173">
        <f t="shared" si="36"/>
        <v>0</v>
      </c>
      <c r="AB70" s="173">
        <f t="shared" si="36"/>
        <v>0</v>
      </c>
      <c r="AC70" s="173"/>
      <c r="AD70" s="173"/>
      <c r="AE70" s="173">
        <f t="shared" si="36"/>
        <v>0</v>
      </c>
      <c r="AF70" s="173">
        <f t="shared" si="36"/>
        <v>0</v>
      </c>
      <c r="AG70" s="173">
        <f t="shared" si="36"/>
        <v>0</v>
      </c>
      <c r="AH70" s="173">
        <f t="shared" si="36"/>
        <v>2619.0100000000002</v>
      </c>
      <c r="AI70" s="173">
        <f t="shared" si="36"/>
        <v>0</v>
      </c>
      <c r="AJ70" s="173">
        <f t="shared" si="36"/>
        <v>0</v>
      </c>
      <c r="AK70" s="173">
        <f t="shared" si="36"/>
        <v>0</v>
      </c>
      <c r="AL70" s="173">
        <f t="shared" si="36"/>
        <v>2619.0100000000002</v>
      </c>
      <c r="AM70" s="173">
        <f t="shared" si="36"/>
        <v>0</v>
      </c>
      <c r="AN70" s="173">
        <f t="shared" si="36"/>
        <v>0</v>
      </c>
      <c r="AO70" s="173">
        <f t="shared" si="36"/>
        <v>0</v>
      </c>
      <c r="AP70" s="173">
        <f t="shared" si="36"/>
        <v>2619.0100000000002</v>
      </c>
      <c r="AQ70" s="173">
        <f t="shared" si="36"/>
        <v>0</v>
      </c>
      <c r="AR70" s="173">
        <f t="shared" si="36"/>
        <v>0</v>
      </c>
      <c r="AS70" s="173">
        <f>SUM(AS69)</f>
        <v>7857.0300000000007</v>
      </c>
    </row>
    <row r="71" spans="1:45" ht="63.75" hidden="1">
      <c r="A71" s="174" t="s">
        <v>500</v>
      </c>
      <c r="B71" s="199">
        <v>1</v>
      </c>
      <c r="C71" s="184" t="s">
        <v>501</v>
      </c>
      <c r="D71" s="200" t="s">
        <v>162</v>
      </c>
      <c r="E71" s="156" t="s">
        <v>502</v>
      </c>
      <c r="F71" s="155" t="s">
        <v>503</v>
      </c>
      <c r="G71" s="155" t="s">
        <v>504</v>
      </c>
      <c r="H71" s="156" t="s">
        <v>505</v>
      </c>
      <c r="I71" s="184" t="s">
        <v>506</v>
      </c>
      <c r="J71" s="157">
        <v>0</v>
      </c>
      <c r="K71" s="157"/>
      <c r="L71" s="158">
        <v>18617</v>
      </c>
      <c r="M71" s="159" t="s">
        <v>68</v>
      </c>
      <c r="N71" s="159"/>
      <c r="O71" s="157">
        <v>0</v>
      </c>
      <c r="P71" s="157">
        <v>0</v>
      </c>
      <c r="Q71" s="160">
        <f>SUM(O71:P71)</f>
        <v>0</v>
      </c>
      <c r="R71" s="161">
        <v>0</v>
      </c>
      <c r="S71" s="161"/>
      <c r="T71" s="161"/>
      <c r="U71" s="161"/>
      <c r="V71" s="161"/>
      <c r="W71" s="161"/>
      <c r="X71" s="161"/>
      <c r="Y71" s="160">
        <f t="shared" si="35"/>
        <v>0</v>
      </c>
      <c r="Z71" s="162" t="s">
        <v>131</v>
      </c>
      <c r="AA71" s="162" t="s">
        <v>507</v>
      </c>
      <c r="AB71" s="162" t="s">
        <v>508</v>
      </c>
      <c r="AC71" s="163">
        <v>42005</v>
      </c>
      <c r="AD71" s="163">
        <v>42369</v>
      </c>
      <c r="AE71" s="164" t="s">
        <v>368</v>
      </c>
      <c r="AF71" s="191" t="s">
        <v>509</v>
      </c>
      <c r="AG71" s="166"/>
      <c r="AH71" s="166"/>
      <c r="AI71" s="166"/>
      <c r="AJ71" s="166"/>
      <c r="AK71" s="166"/>
      <c r="AL71" s="166"/>
      <c r="AM71" s="166"/>
      <c r="AN71" s="166"/>
      <c r="AO71" s="166"/>
      <c r="AP71" s="166"/>
      <c r="AQ71" s="166"/>
      <c r="AR71" s="166"/>
      <c r="AS71" s="167">
        <f>SUM(AG71:AR71)</f>
        <v>0</v>
      </c>
    </row>
    <row r="72" spans="1:45" ht="51" hidden="1">
      <c r="A72" s="174" t="s">
        <v>500</v>
      </c>
      <c r="B72" s="199">
        <v>2</v>
      </c>
      <c r="C72" s="174" t="s">
        <v>510</v>
      </c>
      <c r="D72" s="184" t="s">
        <v>206</v>
      </c>
      <c r="E72" s="201" t="s">
        <v>511</v>
      </c>
      <c r="F72" s="202" t="s">
        <v>512</v>
      </c>
      <c r="G72" s="202" t="s">
        <v>513</v>
      </c>
      <c r="H72" s="156" t="s">
        <v>514</v>
      </c>
      <c r="I72" s="184" t="s">
        <v>515</v>
      </c>
      <c r="J72" s="157">
        <v>20400</v>
      </c>
      <c r="K72" s="157"/>
      <c r="L72" s="158">
        <v>18617</v>
      </c>
      <c r="M72" s="159" t="s">
        <v>68</v>
      </c>
      <c r="N72" s="159"/>
      <c r="O72" s="157"/>
      <c r="P72" s="157">
        <v>20400</v>
      </c>
      <c r="Q72" s="160">
        <v>20400</v>
      </c>
      <c r="R72" s="161">
        <v>20400</v>
      </c>
      <c r="S72" s="161"/>
      <c r="T72" s="161"/>
      <c r="U72" s="161"/>
      <c r="V72" s="161"/>
      <c r="W72" s="161"/>
      <c r="X72" s="161"/>
      <c r="Y72" s="160">
        <f t="shared" si="35"/>
        <v>20400</v>
      </c>
      <c r="Z72" s="162" t="s">
        <v>131</v>
      </c>
      <c r="AA72" s="162" t="s">
        <v>507</v>
      </c>
      <c r="AB72" s="162" t="s">
        <v>508</v>
      </c>
      <c r="AC72" s="163">
        <v>42125</v>
      </c>
      <c r="AD72" s="163">
        <v>42369</v>
      </c>
      <c r="AE72" s="164" t="s">
        <v>368</v>
      </c>
      <c r="AF72" s="191"/>
      <c r="AG72" s="166"/>
      <c r="AH72" s="166"/>
      <c r="AI72" s="166"/>
      <c r="AJ72" s="166"/>
      <c r="AK72" s="166">
        <v>2550</v>
      </c>
      <c r="AL72" s="166">
        <v>2550</v>
      </c>
      <c r="AM72" s="166">
        <v>2550</v>
      </c>
      <c r="AN72" s="166">
        <v>2550</v>
      </c>
      <c r="AO72" s="166">
        <v>2550</v>
      </c>
      <c r="AP72" s="166">
        <v>2550</v>
      </c>
      <c r="AQ72" s="166">
        <v>2550</v>
      </c>
      <c r="AR72" s="166">
        <v>2550</v>
      </c>
      <c r="AS72" s="203">
        <f>SUM(AG72:AR72)</f>
        <v>20400</v>
      </c>
    </row>
    <row r="73" spans="1:45" ht="66" hidden="1" customHeight="1">
      <c r="A73" s="174" t="s">
        <v>500</v>
      </c>
      <c r="B73" s="189">
        <v>3</v>
      </c>
      <c r="C73" s="174" t="s">
        <v>516</v>
      </c>
      <c r="D73" s="184" t="s">
        <v>162</v>
      </c>
      <c r="E73" s="201" t="s">
        <v>517</v>
      </c>
      <c r="F73" s="202" t="s">
        <v>518</v>
      </c>
      <c r="G73" s="202" t="s">
        <v>519</v>
      </c>
      <c r="H73" s="156" t="s">
        <v>520</v>
      </c>
      <c r="I73" s="184" t="s">
        <v>521</v>
      </c>
      <c r="J73" s="157">
        <v>6000</v>
      </c>
      <c r="K73" s="157"/>
      <c r="L73" s="158">
        <v>18617</v>
      </c>
      <c r="M73" s="159" t="s">
        <v>68</v>
      </c>
      <c r="N73" s="159"/>
      <c r="O73" s="157"/>
      <c r="P73" s="157">
        <v>6000</v>
      </c>
      <c r="Q73" s="160">
        <v>6000</v>
      </c>
      <c r="R73" s="161">
        <v>6000</v>
      </c>
      <c r="S73" s="161"/>
      <c r="T73" s="161"/>
      <c r="U73" s="161"/>
      <c r="V73" s="161"/>
      <c r="W73" s="161"/>
      <c r="X73" s="161"/>
      <c r="Y73" s="160">
        <f t="shared" si="35"/>
        <v>6000</v>
      </c>
      <c r="Z73" s="162" t="s">
        <v>131</v>
      </c>
      <c r="AA73" s="162" t="s">
        <v>507</v>
      </c>
      <c r="AB73" s="162" t="s">
        <v>508</v>
      </c>
      <c r="AC73" s="163">
        <v>42217</v>
      </c>
      <c r="AD73" s="163">
        <v>42308</v>
      </c>
      <c r="AE73" s="164" t="s">
        <v>522</v>
      </c>
      <c r="AF73" s="191"/>
      <c r="AG73" s="166"/>
      <c r="AH73" s="166"/>
      <c r="AI73" s="166"/>
      <c r="AJ73" s="166"/>
      <c r="AK73" s="166"/>
      <c r="AL73" s="166"/>
      <c r="AM73" s="166"/>
      <c r="AN73" s="166">
        <v>2000</v>
      </c>
      <c r="AO73" s="166">
        <v>2000</v>
      </c>
      <c r="AP73" s="166">
        <v>2000</v>
      </c>
      <c r="AQ73" s="166"/>
      <c r="AR73" s="166"/>
      <c r="AS73" s="203">
        <f>SUM(AG73:AR73)</f>
        <v>6000</v>
      </c>
    </row>
    <row r="74" spans="1:45" ht="63.75" hidden="1">
      <c r="A74" s="174" t="s">
        <v>500</v>
      </c>
      <c r="B74" s="189">
        <v>4</v>
      </c>
      <c r="C74" s="174" t="s">
        <v>523</v>
      </c>
      <c r="D74" s="184" t="s">
        <v>162</v>
      </c>
      <c r="E74" s="201" t="s">
        <v>524</v>
      </c>
      <c r="F74" s="202" t="s">
        <v>525</v>
      </c>
      <c r="G74" s="202" t="s">
        <v>526</v>
      </c>
      <c r="H74" s="156" t="s">
        <v>527</v>
      </c>
      <c r="I74" s="184" t="s">
        <v>528</v>
      </c>
      <c r="J74" s="157">
        <v>450</v>
      </c>
      <c r="K74" s="157"/>
      <c r="L74" s="158">
        <v>18617</v>
      </c>
      <c r="M74" s="159" t="s">
        <v>68</v>
      </c>
      <c r="N74" s="159"/>
      <c r="O74" s="157"/>
      <c r="P74" s="157">
        <v>450</v>
      </c>
      <c r="Q74" s="160">
        <v>450</v>
      </c>
      <c r="R74" s="161">
        <v>450</v>
      </c>
      <c r="S74" s="161"/>
      <c r="T74" s="161"/>
      <c r="U74" s="161"/>
      <c r="V74" s="161"/>
      <c r="W74" s="161"/>
      <c r="X74" s="161"/>
      <c r="Y74" s="160">
        <f t="shared" si="35"/>
        <v>450</v>
      </c>
      <c r="Z74" s="162" t="s">
        <v>131</v>
      </c>
      <c r="AA74" s="162" t="s">
        <v>507</v>
      </c>
      <c r="AB74" s="162" t="s">
        <v>508</v>
      </c>
      <c r="AC74" s="163">
        <v>42278</v>
      </c>
      <c r="AD74" s="163" t="s">
        <v>529</v>
      </c>
      <c r="AE74" s="164" t="s">
        <v>368</v>
      </c>
      <c r="AF74" s="191"/>
      <c r="AG74" s="166"/>
      <c r="AH74" s="166"/>
      <c r="AI74" s="166"/>
      <c r="AJ74" s="166"/>
      <c r="AK74" s="166"/>
      <c r="AL74" s="166"/>
      <c r="AM74" s="166"/>
      <c r="AN74" s="166"/>
      <c r="AO74" s="166"/>
      <c r="AP74" s="166">
        <v>225</v>
      </c>
      <c r="AQ74" s="166">
        <v>225</v>
      </c>
      <c r="AR74" s="166"/>
      <c r="AS74" s="203">
        <f>SUM(AG74:AR74)</f>
        <v>450</v>
      </c>
    </row>
    <row r="75" spans="1:45" ht="51" hidden="1">
      <c r="A75" s="174" t="s">
        <v>500</v>
      </c>
      <c r="B75" s="189">
        <v>5</v>
      </c>
      <c r="C75" s="174" t="s">
        <v>530</v>
      </c>
      <c r="D75" s="184" t="s">
        <v>162</v>
      </c>
      <c r="E75" s="201" t="s">
        <v>531</v>
      </c>
      <c r="F75" s="202" t="s">
        <v>532</v>
      </c>
      <c r="G75" s="202" t="s">
        <v>533</v>
      </c>
      <c r="H75" s="156" t="s">
        <v>534</v>
      </c>
      <c r="I75" s="184" t="s">
        <v>535</v>
      </c>
      <c r="J75" s="157">
        <v>900</v>
      </c>
      <c r="K75" s="157"/>
      <c r="L75" s="158">
        <v>2500</v>
      </c>
      <c r="M75" s="159" t="s">
        <v>68</v>
      </c>
      <c r="N75" s="159"/>
      <c r="O75" s="157"/>
      <c r="P75" s="157">
        <v>900</v>
      </c>
      <c r="Q75" s="160">
        <v>900</v>
      </c>
      <c r="R75" s="161">
        <v>900</v>
      </c>
      <c r="S75" s="161"/>
      <c r="T75" s="161"/>
      <c r="U75" s="161"/>
      <c r="V75" s="161"/>
      <c r="W75" s="161"/>
      <c r="X75" s="161"/>
      <c r="Y75" s="160">
        <f t="shared" si="35"/>
        <v>900</v>
      </c>
      <c r="Z75" s="162" t="s">
        <v>131</v>
      </c>
      <c r="AA75" s="162" t="s">
        <v>507</v>
      </c>
      <c r="AB75" s="162" t="s">
        <v>508</v>
      </c>
      <c r="AC75" s="163">
        <v>42309</v>
      </c>
      <c r="AD75" s="163">
        <v>42369</v>
      </c>
      <c r="AE75" s="164" t="s">
        <v>368</v>
      </c>
      <c r="AF75" s="191"/>
      <c r="AG75" s="166"/>
      <c r="AH75" s="166"/>
      <c r="AI75" s="166"/>
      <c r="AJ75" s="166"/>
      <c r="AK75" s="166"/>
      <c r="AL75" s="166"/>
      <c r="AM75" s="166"/>
      <c r="AN75" s="166"/>
      <c r="AO75" s="166"/>
      <c r="AP75" s="166"/>
      <c r="AQ75" s="166">
        <v>450</v>
      </c>
      <c r="AR75" s="166">
        <v>450</v>
      </c>
      <c r="AS75" s="203">
        <f>SUM(AG75:AR75)</f>
        <v>900</v>
      </c>
    </row>
    <row r="76" spans="1:45" hidden="1">
      <c r="A76" s="204"/>
      <c r="B76" s="204"/>
      <c r="C76" s="204"/>
      <c r="D76" s="204"/>
      <c r="E76" s="171"/>
      <c r="F76" s="172"/>
      <c r="G76" s="171"/>
      <c r="H76" s="171"/>
      <c r="I76" s="171"/>
      <c r="J76" s="205">
        <f>SUM(J71:J75)</f>
        <v>27750</v>
      </c>
      <c r="K76" s="205">
        <f>SUM(K71:K75)</f>
        <v>0</v>
      </c>
      <c r="L76" s="171"/>
      <c r="M76" s="171"/>
      <c r="N76" s="173"/>
      <c r="O76" s="173">
        <f>SUM(O71:O75)</f>
        <v>0</v>
      </c>
      <c r="P76" s="173">
        <f>SUM(P71:P75)</f>
        <v>27750</v>
      </c>
      <c r="Q76" s="173">
        <f t="shared" ref="Q76:AR76" si="37">SUM(Q71:Q75)</f>
        <v>27750</v>
      </c>
      <c r="R76" s="173">
        <f t="shared" si="37"/>
        <v>27750</v>
      </c>
      <c r="S76" s="173">
        <f t="shared" si="37"/>
        <v>0</v>
      </c>
      <c r="T76" s="173">
        <f t="shared" si="37"/>
        <v>0</v>
      </c>
      <c r="U76" s="173">
        <f t="shared" si="37"/>
        <v>0</v>
      </c>
      <c r="V76" s="173">
        <f t="shared" si="37"/>
        <v>0</v>
      </c>
      <c r="W76" s="173">
        <f t="shared" si="37"/>
        <v>0</v>
      </c>
      <c r="X76" s="173">
        <f t="shared" si="37"/>
        <v>0</v>
      </c>
      <c r="Y76" s="173">
        <f t="shared" si="37"/>
        <v>27750</v>
      </c>
      <c r="Z76" s="173">
        <f t="shared" si="37"/>
        <v>0</v>
      </c>
      <c r="AA76" s="173">
        <f t="shared" si="37"/>
        <v>0</v>
      </c>
      <c r="AB76" s="173">
        <f t="shared" si="37"/>
        <v>0</v>
      </c>
      <c r="AC76" s="173"/>
      <c r="AD76" s="173"/>
      <c r="AE76" s="173">
        <f t="shared" si="37"/>
        <v>0</v>
      </c>
      <c r="AF76" s="173">
        <f t="shared" si="37"/>
        <v>0</v>
      </c>
      <c r="AG76" s="173">
        <f>SUM(AG71:AG75)</f>
        <v>0</v>
      </c>
      <c r="AH76" s="173">
        <f t="shared" ref="AH76:AK76" si="38">SUM(AH71:AH75)</f>
        <v>0</v>
      </c>
      <c r="AI76" s="173">
        <f t="shared" si="38"/>
        <v>0</v>
      </c>
      <c r="AJ76" s="173">
        <f t="shared" si="38"/>
        <v>0</v>
      </c>
      <c r="AK76" s="173">
        <f t="shared" si="38"/>
        <v>2550</v>
      </c>
      <c r="AL76" s="173">
        <f t="shared" si="37"/>
        <v>2550</v>
      </c>
      <c r="AM76" s="173">
        <f t="shared" si="37"/>
        <v>2550</v>
      </c>
      <c r="AN76" s="173">
        <f t="shared" si="37"/>
        <v>4550</v>
      </c>
      <c r="AO76" s="173">
        <f t="shared" si="37"/>
        <v>4550</v>
      </c>
      <c r="AP76" s="173">
        <f t="shared" si="37"/>
        <v>4775</v>
      </c>
      <c r="AQ76" s="173">
        <f t="shared" si="37"/>
        <v>3225</v>
      </c>
      <c r="AR76" s="173">
        <f t="shared" si="37"/>
        <v>3000</v>
      </c>
      <c r="AS76" s="173">
        <f>SUM(AS71:AS75)</f>
        <v>27750</v>
      </c>
    </row>
    <row r="77" spans="1:45" ht="216.75" hidden="1">
      <c r="A77" s="206" t="s">
        <v>536</v>
      </c>
      <c r="B77" s="189">
        <v>1</v>
      </c>
      <c r="C77" s="207" t="s">
        <v>537</v>
      </c>
      <c r="D77" s="207" t="s">
        <v>538</v>
      </c>
      <c r="E77" s="208" t="s">
        <v>539</v>
      </c>
      <c r="F77" s="209" t="s">
        <v>540</v>
      </c>
      <c r="G77" s="209" t="s">
        <v>541</v>
      </c>
      <c r="H77" s="208" t="s">
        <v>542</v>
      </c>
      <c r="I77" s="208" t="s">
        <v>543</v>
      </c>
      <c r="J77" s="157">
        <v>28500</v>
      </c>
      <c r="K77" s="157">
        <v>17500</v>
      </c>
      <c r="L77" s="158" t="s">
        <v>544</v>
      </c>
      <c r="M77" s="158" t="s">
        <v>114</v>
      </c>
      <c r="N77" s="158"/>
      <c r="O77" s="157"/>
      <c r="P77" s="157">
        <v>46000</v>
      </c>
      <c r="Q77" s="160">
        <f>SUM(O77:P77)</f>
        <v>46000</v>
      </c>
      <c r="R77" s="161">
        <f>SUM(Q77)</f>
        <v>46000</v>
      </c>
      <c r="S77" s="161"/>
      <c r="T77" s="161"/>
      <c r="U77" s="161"/>
      <c r="V77" s="161"/>
      <c r="W77" s="161"/>
      <c r="X77" s="161"/>
      <c r="Y77" s="160">
        <f t="shared" si="35"/>
        <v>46000</v>
      </c>
      <c r="Z77" s="162" t="s">
        <v>545</v>
      </c>
      <c r="AA77" s="162" t="s">
        <v>546</v>
      </c>
      <c r="AB77" s="162" t="s">
        <v>547</v>
      </c>
      <c r="AC77" s="163">
        <v>42005</v>
      </c>
      <c r="AD77" s="163">
        <v>42369</v>
      </c>
      <c r="AE77" s="164" t="s">
        <v>153</v>
      </c>
      <c r="AF77" s="191"/>
      <c r="AG77" s="166">
        <v>3833.3199999999997</v>
      </c>
      <c r="AH77" s="166">
        <v>3833.3199999999997</v>
      </c>
      <c r="AI77" s="166">
        <v>3833.3199999999997</v>
      </c>
      <c r="AJ77" s="166">
        <v>3833.3199999999997</v>
      </c>
      <c r="AK77" s="166">
        <v>3833.3199999999997</v>
      </c>
      <c r="AL77" s="166">
        <v>3833.3199999999997</v>
      </c>
      <c r="AM77" s="166">
        <v>3833.3199999999997</v>
      </c>
      <c r="AN77" s="166">
        <v>3833.3199999999997</v>
      </c>
      <c r="AO77" s="166">
        <v>3833.3199999999997</v>
      </c>
      <c r="AP77" s="166">
        <v>3833.3199999999997</v>
      </c>
      <c r="AQ77" s="166">
        <v>3833.3199999999997</v>
      </c>
      <c r="AR77" s="166">
        <v>3833.4799999999996</v>
      </c>
      <c r="AS77" s="167">
        <f>SUM(AG77:AR77)</f>
        <v>46000</v>
      </c>
    </row>
    <row r="78" spans="1:45" ht="127.5" hidden="1">
      <c r="A78" s="206" t="s">
        <v>536</v>
      </c>
      <c r="B78" s="189">
        <v>2</v>
      </c>
      <c r="C78" s="207" t="s">
        <v>548</v>
      </c>
      <c r="D78" s="210" t="s">
        <v>162</v>
      </c>
      <c r="E78" s="209" t="s">
        <v>549</v>
      </c>
      <c r="F78" s="209" t="s">
        <v>550</v>
      </c>
      <c r="G78" s="209" t="s">
        <v>551</v>
      </c>
      <c r="H78" s="209" t="s">
        <v>552</v>
      </c>
      <c r="I78" s="208" t="s">
        <v>553</v>
      </c>
      <c r="J78" s="157">
        <v>1500</v>
      </c>
      <c r="K78" s="157"/>
      <c r="L78" s="158" t="s">
        <v>554</v>
      </c>
      <c r="M78" s="158" t="s">
        <v>114</v>
      </c>
      <c r="N78" s="158"/>
      <c r="O78" s="157"/>
      <c r="P78" s="157">
        <v>1500</v>
      </c>
      <c r="Q78" s="160">
        <v>1500</v>
      </c>
      <c r="R78" s="161">
        <f t="shared" ref="R78:R83" si="39">SUM(Q78)</f>
        <v>1500</v>
      </c>
      <c r="S78" s="161"/>
      <c r="T78" s="161"/>
      <c r="U78" s="161"/>
      <c r="V78" s="161"/>
      <c r="W78" s="161"/>
      <c r="X78" s="161"/>
      <c r="Y78" s="160">
        <f t="shared" si="35"/>
        <v>1500</v>
      </c>
      <c r="Z78" s="162" t="s">
        <v>545</v>
      </c>
      <c r="AA78" s="162" t="s">
        <v>546</v>
      </c>
      <c r="AB78" s="162" t="s">
        <v>555</v>
      </c>
      <c r="AC78" s="163">
        <v>42064</v>
      </c>
      <c r="AD78" s="163">
        <v>42369</v>
      </c>
      <c r="AE78" s="211" t="s">
        <v>153</v>
      </c>
      <c r="AF78" s="191"/>
      <c r="AG78" s="166"/>
      <c r="AH78" s="166"/>
      <c r="AI78" s="166">
        <v>1500</v>
      </c>
      <c r="AJ78" s="166"/>
      <c r="AK78" s="166"/>
      <c r="AL78" s="166"/>
      <c r="AM78" s="166"/>
      <c r="AN78" s="166"/>
      <c r="AO78" s="166"/>
      <c r="AP78" s="166"/>
      <c r="AQ78" s="166"/>
      <c r="AR78" s="166"/>
      <c r="AS78" s="167">
        <f t="shared" ref="AS78:AS90" si="40">SUM(AG78:AR78)</f>
        <v>1500</v>
      </c>
    </row>
    <row r="79" spans="1:45" ht="63.75" hidden="1">
      <c r="A79" s="206" t="s">
        <v>536</v>
      </c>
      <c r="B79" s="189">
        <v>3</v>
      </c>
      <c r="C79" s="212" t="s">
        <v>556</v>
      </c>
      <c r="D79" s="209" t="s">
        <v>557</v>
      </c>
      <c r="E79" s="209" t="s">
        <v>558</v>
      </c>
      <c r="F79" s="213" t="s">
        <v>559</v>
      </c>
      <c r="G79" s="209" t="s">
        <v>560</v>
      </c>
      <c r="H79" s="208" t="s">
        <v>561</v>
      </c>
      <c r="I79" s="208" t="s">
        <v>562</v>
      </c>
      <c r="J79" s="157">
        <v>800</v>
      </c>
      <c r="K79" s="157"/>
      <c r="L79" s="158" t="s">
        <v>563</v>
      </c>
      <c r="M79" s="158" t="s">
        <v>68</v>
      </c>
      <c r="N79" s="158"/>
      <c r="O79" s="157"/>
      <c r="P79" s="157">
        <v>800</v>
      </c>
      <c r="Q79" s="160">
        <v>800</v>
      </c>
      <c r="R79" s="161">
        <f t="shared" si="39"/>
        <v>800</v>
      </c>
      <c r="S79" s="161"/>
      <c r="T79" s="161"/>
      <c r="U79" s="161"/>
      <c r="V79" s="161"/>
      <c r="W79" s="161"/>
      <c r="X79" s="161"/>
      <c r="Y79" s="160">
        <f t="shared" si="35"/>
        <v>800</v>
      </c>
      <c r="Z79" s="162" t="s">
        <v>564</v>
      </c>
      <c r="AA79" s="162" t="s">
        <v>546</v>
      </c>
      <c r="AB79" s="162" t="s">
        <v>565</v>
      </c>
      <c r="AC79" s="163">
        <v>42064</v>
      </c>
      <c r="AD79" s="163">
        <v>42369</v>
      </c>
      <c r="AE79" s="164" t="s">
        <v>153</v>
      </c>
      <c r="AF79" s="191"/>
      <c r="AG79" s="166"/>
      <c r="AH79" s="166"/>
      <c r="AI79" s="166">
        <v>800</v>
      </c>
      <c r="AJ79" s="166"/>
      <c r="AK79" s="166"/>
      <c r="AL79" s="166"/>
      <c r="AM79" s="166"/>
      <c r="AN79" s="166"/>
      <c r="AO79" s="166"/>
      <c r="AP79" s="166"/>
      <c r="AQ79" s="166"/>
      <c r="AR79" s="166"/>
      <c r="AS79" s="167">
        <f t="shared" si="40"/>
        <v>800</v>
      </c>
    </row>
    <row r="80" spans="1:45" ht="153" hidden="1">
      <c r="A80" s="206" t="s">
        <v>536</v>
      </c>
      <c r="B80" s="189">
        <v>4</v>
      </c>
      <c r="C80" s="208" t="s">
        <v>566</v>
      </c>
      <c r="D80" s="214" t="s">
        <v>567</v>
      </c>
      <c r="E80" s="209" t="s">
        <v>568</v>
      </c>
      <c r="F80" s="209" t="s">
        <v>569</v>
      </c>
      <c r="G80" s="209" t="s">
        <v>570</v>
      </c>
      <c r="H80" s="208" t="s">
        <v>571</v>
      </c>
      <c r="I80" s="208" t="s">
        <v>572</v>
      </c>
      <c r="J80" s="157">
        <v>1100</v>
      </c>
      <c r="K80" s="157"/>
      <c r="L80" s="158" t="s">
        <v>573</v>
      </c>
      <c r="M80" s="158" t="s">
        <v>68</v>
      </c>
      <c r="N80" s="158"/>
      <c r="O80" s="157"/>
      <c r="P80" s="157">
        <v>1100</v>
      </c>
      <c r="Q80" s="160">
        <v>1100</v>
      </c>
      <c r="R80" s="161">
        <f t="shared" si="39"/>
        <v>1100</v>
      </c>
      <c r="S80" s="161"/>
      <c r="T80" s="161"/>
      <c r="U80" s="161"/>
      <c r="V80" s="161"/>
      <c r="W80" s="161"/>
      <c r="X80" s="161"/>
      <c r="Y80" s="160">
        <f t="shared" si="35"/>
        <v>1100</v>
      </c>
      <c r="Z80" s="162" t="s">
        <v>564</v>
      </c>
      <c r="AA80" s="162" t="s">
        <v>546</v>
      </c>
      <c r="AB80" s="162" t="s">
        <v>574</v>
      </c>
      <c r="AC80" s="163">
        <v>42156</v>
      </c>
      <c r="AD80" s="163">
        <v>42369</v>
      </c>
      <c r="AE80" s="164" t="s">
        <v>153</v>
      </c>
      <c r="AF80" s="191"/>
      <c r="AG80" s="166"/>
      <c r="AH80" s="166"/>
      <c r="AI80" s="166"/>
      <c r="AJ80" s="166"/>
      <c r="AK80" s="166"/>
      <c r="AL80" s="166">
        <v>1100</v>
      </c>
      <c r="AM80" s="166"/>
      <c r="AN80" s="166"/>
      <c r="AO80" s="166"/>
      <c r="AP80" s="166"/>
      <c r="AQ80" s="166"/>
      <c r="AR80" s="166"/>
      <c r="AS80" s="167">
        <f t="shared" si="40"/>
        <v>1100</v>
      </c>
    </row>
    <row r="81" spans="1:45" ht="153" hidden="1">
      <c r="A81" s="206" t="s">
        <v>536</v>
      </c>
      <c r="B81" s="189">
        <v>5</v>
      </c>
      <c r="C81" s="215" t="s">
        <v>575</v>
      </c>
      <c r="D81" s="214" t="s">
        <v>576</v>
      </c>
      <c r="E81" s="209" t="s">
        <v>577</v>
      </c>
      <c r="F81" s="209" t="s">
        <v>578</v>
      </c>
      <c r="G81" s="209" t="s">
        <v>579</v>
      </c>
      <c r="H81" s="208" t="s">
        <v>580</v>
      </c>
      <c r="I81" s="208" t="s">
        <v>581</v>
      </c>
      <c r="J81" s="157"/>
      <c r="K81" s="157">
        <v>2000</v>
      </c>
      <c r="L81" s="158" t="s">
        <v>582</v>
      </c>
      <c r="M81" s="158" t="s">
        <v>68</v>
      </c>
      <c r="N81" s="158"/>
      <c r="O81" s="157"/>
      <c r="P81" s="157">
        <v>2000</v>
      </c>
      <c r="Q81" s="160">
        <v>2000</v>
      </c>
      <c r="R81" s="161">
        <f t="shared" si="39"/>
        <v>2000</v>
      </c>
      <c r="S81" s="161"/>
      <c r="T81" s="161"/>
      <c r="U81" s="161"/>
      <c r="V81" s="161"/>
      <c r="W81" s="161"/>
      <c r="X81" s="161"/>
      <c r="Y81" s="160">
        <f t="shared" si="35"/>
        <v>2000</v>
      </c>
      <c r="Z81" s="162" t="s">
        <v>564</v>
      </c>
      <c r="AA81" s="162" t="s">
        <v>546</v>
      </c>
      <c r="AB81" s="162" t="s">
        <v>574</v>
      </c>
      <c r="AC81" s="163">
        <v>42156</v>
      </c>
      <c r="AD81" s="163">
        <v>42369</v>
      </c>
      <c r="AE81" s="164" t="s">
        <v>153</v>
      </c>
      <c r="AF81" s="191"/>
      <c r="AG81" s="166"/>
      <c r="AH81" s="166"/>
      <c r="AI81" s="166"/>
      <c r="AJ81" s="166"/>
      <c r="AK81" s="166"/>
      <c r="AL81" s="166">
        <v>2000</v>
      </c>
      <c r="AM81" s="166"/>
      <c r="AN81" s="166"/>
      <c r="AO81" s="166"/>
      <c r="AP81" s="166"/>
      <c r="AQ81" s="166"/>
      <c r="AR81" s="166"/>
      <c r="AS81" s="167">
        <f t="shared" si="40"/>
        <v>2000</v>
      </c>
    </row>
    <row r="82" spans="1:45" ht="89.25" hidden="1">
      <c r="A82" s="206" t="s">
        <v>536</v>
      </c>
      <c r="B82" s="189">
        <v>6</v>
      </c>
      <c r="C82" s="216" t="s">
        <v>583</v>
      </c>
      <c r="D82" s="217" t="s">
        <v>206</v>
      </c>
      <c r="E82" s="209" t="s">
        <v>584</v>
      </c>
      <c r="F82" s="209" t="s">
        <v>585</v>
      </c>
      <c r="G82" s="209" t="s">
        <v>586</v>
      </c>
      <c r="H82" s="208" t="s">
        <v>587</v>
      </c>
      <c r="I82" s="208" t="s">
        <v>588</v>
      </c>
      <c r="J82" s="157"/>
      <c r="K82" s="157">
        <v>2000</v>
      </c>
      <c r="L82" s="158" t="s">
        <v>589</v>
      </c>
      <c r="M82" s="158" t="s">
        <v>68</v>
      </c>
      <c r="N82" s="158"/>
      <c r="O82" s="157"/>
      <c r="P82" s="157">
        <v>2000</v>
      </c>
      <c r="Q82" s="160">
        <v>2000</v>
      </c>
      <c r="R82" s="161">
        <f t="shared" si="39"/>
        <v>2000</v>
      </c>
      <c r="S82" s="161"/>
      <c r="T82" s="161"/>
      <c r="U82" s="161"/>
      <c r="V82" s="161"/>
      <c r="W82" s="161"/>
      <c r="X82" s="161"/>
      <c r="Y82" s="160">
        <f t="shared" si="35"/>
        <v>2000</v>
      </c>
      <c r="Z82" s="162" t="s">
        <v>564</v>
      </c>
      <c r="AA82" s="162" t="s">
        <v>546</v>
      </c>
      <c r="AB82" s="162" t="s">
        <v>590</v>
      </c>
      <c r="AC82" s="163">
        <v>42125</v>
      </c>
      <c r="AD82" s="163">
        <v>42369</v>
      </c>
      <c r="AE82" s="164" t="s">
        <v>153</v>
      </c>
      <c r="AF82" s="191"/>
      <c r="AG82" s="166"/>
      <c r="AH82" s="166"/>
      <c r="AI82" s="166"/>
      <c r="AJ82" s="166"/>
      <c r="AK82" s="166">
        <v>2000</v>
      </c>
      <c r="AL82" s="166"/>
      <c r="AM82" s="166"/>
      <c r="AN82" s="166"/>
      <c r="AO82" s="166"/>
      <c r="AP82" s="166"/>
      <c r="AQ82" s="166"/>
      <c r="AR82" s="166"/>
      <c r="AS82" s="167">
        <f t="shared" si="40"/>
        <v>2000</v>
      </c>
    </row>
    <row r="83" spans="1:45" ht="89.25" hidden="1">
      <c r="A83" s="206" t="s">
        <v>536</v>
      </c>
      <c r="B83" s="189">
        <v>7</v>
      </c>
      <c r="C83" s="218" t="s">
        <v>591</v>
      </c>
      <c r="D83" s="214" t="s">
        <v>162</v>
      </c>
      <c r="E83" s="208" t="s">
        <v>592</v>
      </c>
      <c r="F83" s="208" t="s">
        <v>593</v>
      </c>
      <c r="G83" s="208" t="s">
        <v>594</v>
      </c>
      <c r="H83" s="208" t="s">
        <v>595</v>
      </c>
      <c r="I83" s="208" t="s">
        <v>596</v>
      </c>
      <c r="J83" s="157"/>
      <c r="K83" s="157">
        <v>3428.53</v>
      </c>
      <c r="L83" s="158" t="s">
        <v>597</v>
      </c>
      <c r="M83" s="158" t="s">
        <v>114</v>
      </c>
      <c r="N83" s="158"/>
      <c r="O83" s="157"/>
      <c r="P83" s="157">
        <v>3428.53</v>
      </c>
      <c r="Q83" s="160">
        <f>+O83+P83</f>
        <v>3428.53</v>
      </c>
      <c r="R83" s="161">
        <f t="shared" si="39"/>
        <v>3428.53</v>
      </c>
      <c r="S83" s="161"/>
      <c r="T83" s="161"/>
      <c r="U83" s="161"/>
      <c r="V83" s="161"/>
      <c r="W83" s="161"/>
      <c r="X83" s="161"/>
      <c r="Y83" s="160">
        <f t="shared" si="35"/>
        <v>3428.53</v>
      </c>
      <c r="Z83" s="162" t="s">
        <v>564</v>
      </c>
      <c r="AA83" s="162" t="s">
        <v>546</v>
      </c>
      <c r="AB83" s="162" t="s">
        <v>590</v>
      </c>
      <c r="AC83" s="163">
        <v>42005</v>
      </c>
      <c r="AD83" s="163">
        <v>42369</v>
      </c>
      <c r="AE83" s="164" t="s">
        <v>153</v>
      </c>
      <c r="AF83" s="191"/>
      <c r="AG83" s="166">
        <v>219.04</v>
      </c>
      <c r="AH83" s="166">
        <v>219.04</v>
      </c>
      <c r="AI83" s="166">
        <v>1019.04</v>
      </c>
      <c r="AJ83" s="166">
        <v>219.04</v>
      </c>
      <c r="AK83" s="166">
        <v>219.04</v>
      </c>
      <c r="AL83" s="166">
        <v>219.04</v>
      </c>
      <c r="AM83" s="166">
        <v>219.04</v>
      </c>
      <c r="AN83" s="166">
        <v>219.04</v>
      </c>
      <c r="AO83" s="166">
        <v>219.04</v>
      </c>
      <c r="AP83" s="166">
        <v>219.04</v>
      </c>
      <c r="AQ83" s="166">
        <v>219.04</v>
      </c>
      <c r="AR83" s="166">
        <v>219.09</v>
      </c>
      <c r="AS83" s="167">
        <f t="shared" si="40"/>
        <v>3428.5299999999997</v>
      </c>
    </row>
    <row r="84" spans="1:45" ht="63.75" hidden="1">
      <c r="A84" s="206" t="s">
        <v>536</v>
      </c>
      <c r="B84" s="189">
        <v>8</v>
      </c>
      <c r="C84" s="207" t="s">
        <v>598</v>
      </c>
      <c r="D84" s="207" t="s">
        <v>599</v>
      </c>
      <c r="E84" s="208" t="s">
        <v>600</v>
      </c>
      <c r="F84" s="209" t="s">
        <v>601</v>
      </c>
      <c r="G84" s="209" t="s">
        <v>602</v>
      </c>
      <c r="H84" s="208" t="s">
        <v>603</v>
      </c>
      <c r="I84" s="208" t="s">
        <v>604</v>
      </c>
      <c r="J84" s="157">
        <v>15000</v>
      </c>
      <c r="K84" s="157"/>
      <c r="L84" s="158" t="s">
        <v>605</v>
      </c>
      <c r="M84" s="158" t="s">
        <v>68</v>
      </c>
      <c r="N84" s="158"/>
      <c r="O84" s="157"/>
      <c r="P84" s="157">
        <v>15000</v>
      </c>
      <c r="Q84" s="160">
        <f>SUM(O84:P84)</f>
        <v>15000</v>
      </c>
      <c r="R84" s="161">
        <v>15000</v>
      </c>
      <c r="S84" s="161"/>
      <c r="T84" s="161"/>
      <c r="U84" s="161"/>
      <c r="V84" s="161"/>
      <c r="W84" s="161"/>
      <c r="X84" s="161"/>
      <c r="Y84" s="160">
        <f t="shared" si="35"/>
        <v>15000</v>
      </c>
      <c r="Z84" s="162" t="s">
        <v>545</v>
      </c>
      <c r="AA84" s="162" t="s">
        <v>606</v>
      </c>
      <c r="AB84" s="162" t="s">
        <v>607</v>
      </c>
      <c r="AC84" s="163">
        <v>42125</v>
      </c>
      <c r="AD84" s="163">
        <v>42369</v>
      </c>
      <c r="AE84" s="164" t="s">
        <v>153</v>
      </c>
      <c r="AF84" s="191"/>
      <c r="AG84" s="166"/>
      <c r="AH84" s="166"/>
      <c r="AI84" s="166"/>
      <c r="AJ84" s="166"/>
      <c r="AK84" s="166">
        <v>10000</v>
      </c>
      <c r="AL84" s="166">
        <v>5000</v>
      </c>
      <c r="AM84" s="166"/>
      <c r="AN84" s="166"/>
      <c r="AO84" s="166"/>
      <c r="AP84" s="166"/>
      <c r="AQ84" s="166"/>
      <c r="AR84" s="166"/>
      <c r="AS84" s="167">
        <f t="shared" si="40"/>
        <v>15000</v>
      </c>
    </row>
    <row r="85" spans="1:45" ht="51" hidden="1">
      <c r="A85" s="206" t="s">
        <v>536</v>
      </c>
      <c r="B85" s="189">
        <v>9</v>
      </c>
      <c r="C85" s="207" t="s">
        <v>608</v>
      </c>
      <c r="D85" s="210" t="s">
        <v>609</v>
      </c>
      <c r="E85" s="209" t="s">
        <v>610</v>
      </c>
      <c r="F85" s="209" t="s">
        <v>611</v>
      </c>
      <c r="G85" s="209" t="s">
        <v>612</v>
      </c>
      <c r="H85" s="209" t="s">
        <v>613</v>
      </c>
      <c r="I85" s="208" t="s">
        <v>614</v>
      </c>
      <c r="J85" s="157"/>
      <c r="K85" s="157">
        <v>8000</v>
      </c>
      <c r="L85" s="158" t="s">
        <v>615</v>
      </c>
      <c r="M85" s="158" t="s">
        <v>68</v>
      </c>
      <c r="N85" s="158"/>
      <c r="O85" s="157"/>
      <c r="P85" s="157">
        <v>8000</v>
      </c>
      <c r="Q85" s="160">
        <v>8000</v>
      </c>
      <c r="R85" s="161">
        <v>8000</v>
      </c>
      <c r="S85" s="161"/>
      <c r="T85" s="161"/>
      <c r="U85" s="161"/>
      <c r="V85" s="161"/>
      <c r="W85" s="161"/>
      <c r="X85" s="161"/>
      <c r="Y85" s="160">
        <f t="shared" si="35"/>
        <v>8000</v>
      </c>
      <c r="Z85" s="162" t="s">
        <v>545</v>
      </c>
      <c r="AA85" s="162" t="s">
        <v>606</v>
      </c>
      <c r="AB85" s="162" t="s">
        <v>616</v>
      </c>
      <c r="AC85" s="163">
        <v>42096</v>
      </c>
      <c r="AD85" s="163">
        <v>42369</v>
      </c>
      <c r="AE85" s="164" t="s">
        <v>153</v>
      </c>
      <c r="AF85" s="191"/>
      <c r="AG85" s="166"/>
      <c r="AH85" s="166"/>
      <c r="AI85" s="166"/>
      <c r="AJ85" s="166">
        <v>8000</v>
      </c>
      <c r="AK85" s="166"/>
      <c r="AL85" s="166"/>
      <c r="AM85" s="166"/>
      <c r="AN85" s="166"/>
      <c r="AO85" s="166"/>
      <c r="AP85" s="166"/>
      <c r="AQ85" s="166"/>
      <c r="AR85" s="166"/>
      <c r="AS85" s="167">
        <f t="shared" si="40"/>
        <v>8000</v>
      </c>
    </row>
    <row r="86" spans="1:45" ht="63.75" hidden="1">
      <c r="A86" s="206" t="s">
        <v>536</v>
      </c>
      <c r="B86" s="189">
        <v>10</v>
      </c>
      <c r="C86" s="212" t="s">
        <v>617</v>
      </c>
      <c r="D86" s="209" t="s">
        <v>618</v>
      </c>
      <c r="E86" s="209" t="s">
        <v>619</v>
      </c>
      <c r="F86" s="213" t="s">
        <v>620</v>
      </c>
      <c r="G86" s="209" t="s">
        <v>621</v>
      </c>
      <c r="H86" s="208" t="s">
        <v>622</v>
      </c>
      <c r="I86" s="208" t="s">
        <v>623</v>
      </c>
      <c r="J86" s="157"/>
      <c r="K86" s="157">
        <v>5000</v>
      </c>
      <c r="L86" s="158" t="s">
        <v>615</v>
      </c>
      <c r="M86" s="158" t="s">
        <v>68</v>
      </c>
      <c r="N86" s="158"/>
      <c r="O86" s="157"/>
      <c r="P86" s="157">
        <v>5000</v>
      </c>
      <c r="Q86" s="160">
        <f>SUM(O86:P86)</f>
        <v>5000</v>
      </c>
      <c r="R86" s="161">
        <v>5000</v>
      </c>
      <c r="S86" s="161"/>
      <c r="T86" s="161"/>
      <c r="U86" s="161"/>
      <c r="V86" s="161"/>
      <c r="W86" s="161"/>
      <c r="X86" s="161"/>
      <c r="Y86" s="160">
        <f t="shared" si="35"/>
        <v>5000</v>
      </c>
      <c r="Z86" s="162" t="s">
        <v>564</v>
      </c>
      <c r="AA86" s="162" t="s">
        <v>606</v>
      </c>
      <c r="AB86" s="162" t="s">
        <v>624</v>
      </c>
      <c r="AC86" s="163">
        <v>42095</v>
      </c>
      <c r="AD86" s="163">
        <v>42369</v>
      </c>
      <c r="AE86" s="164" t="s">
        <v>153</v>
      </c>
      <c r="AF86" s="191"/>
      <c r="AG86" s="166"/>
      <c r="AH86" s="166"/>
      <c r="AI86" s="166"/>
      <c r="AJ86" s="166">
        <v>5000</v>
      </c>
      <c r="AK86" s="166"/>
      <c r="AL86" s="166"/>
      <c r="AM86" s="166"/>
      <c r="AN86" s="166"/>
      <c r="AO86" s="166"/>
      <c r="AP86" s="166"/>
      <c r="AQ86" s="166"/>
      <c r="AR86" s="166"/>
      <c r="AS86" s="167">
        <f t="shared" si="40"/>
        <v>5000</v>
      </c>
    </row>
    <row r="87" spans="1:45" ht="114.75" hidden="1">
      <c r="A87" s="206" t="s">
        <v>536</v>
      </c>
      <c r="B87" s="189">
        <v>11</v>
      </c>
      <c r="C87" s="208" t="s">
        <v>625</v>
      </c>
      <c r="D87" s="214" t="s">
        <v>626</v>
      </c>
      <c r="E87" s="209" t="s">
        <v>627</v>
      </c>
      <c r="F87" s="209" t="s">
        <v>628</v>
      </c>
      <c r="G87" s="209" t="s">
        <v>629</v>
      </c>
      <c r="H87" s="208" t="s">
        <v>630</v>
      </c>
      <c r="I87" s="208" t="s">
        <v>631</v>
      </c>
      <c r="J87" s="157"/>
      <c r="K87" s="157">
        <v>11828.53</v>
      </c>
      <c r="L87" s="158" t="s">
        <v>632</v>
      </c>
      <c r="M87" s="158" t="s">
        <v>68</v>
      </c>
      <c r="N87" s="158"/>
      <c r="O87" s="157"/>
      <c r="P87" s="157">
        <v>11828.53</v>
      </c>
      <c r="Q87" s="160">
        <f>+P87</f>
        <v>11828.53</v>
      </c>
      <c r="R87" s="161">
        <f>+Q87</f>
        <v>11828.53</v>
      </c>
      <c r="S87" s="161"/>
      <c r="T87" s="161"/>
      <c r="U87" s="161"/>
      <c r="V87" s="161"/>
      <c r="W87" s="161"/>
      <c r="X87" s="161"/>
      <c r="Y87" s="160">
        <f t="shared" si="35"/>
        <v>11828.53</v>
      </c>
      <c r="Z87" s="162" t="s">
        <v>564</v>
      </c>
      <c r="AA87" s="162" t="s">
        <v>606</v>
      </c>
      <c r="AB87" s="162" t="s">
        <v>624</v>
      </c>
      <c r="AC87" s="163">
        <v>42095</v>
      </c>
      <c r="AD87" s="163">
        <v>42369</v>
      </c>
      <c r="AE87" s="164" t="s">
        <v>153</v>
      </c>
      <c r="AF87" s="191"/>
      <c r="AG87" s="166"/>
      <c r="AH87" s="166"/>
      <c r="AI87" s="166"/>
      <c r="AJ87" s="166">
        <v>7000</v>
      </c>
      <c r="AK87" s="166"/>
      <c r="AL87" s="166">
        <v>4828.53</v>
      </c>
      <c r="AM87" s="166"/>
      <c r="AN87" s="166"/>
      <c r="AO87" s="166"/>
      <c r="AP87" s="166"/>
      <c r="AQ87" s="166"/>
      <c r="AR87" s="166"/>
      <c r="AS87" s="167">
        <f t="shared" si="40"/>
        <v>11828.529999999999</v>
      </c>
    </row>
    <row r="88" spans="1:45" ht="76.5" hidden="1">
      <c r="A88" s="206" t="s">
        <v>536</v>
      </c>
      <c r="B88" s="189">
        <v>12</v>
      </c>
      <c r="C88" s="215" t="s">
        <v>633</v>
      </c>
      <c r="D88" s="214" t="s">
        <v>634</v>
      </c>
      <c r="E88" s="209" t="s">
        <v>635</v>
      </c>
      <c r="F88" s="209" t="s">
        <v>636</v>
      </c>
      <c r="G88" s="209" t="s">
        <v>637</v>
      </c>
      <c r="H88" s="208" t="s">
        <v>638</v>
      </c>
      <c r="I88" s="208" t="s">
        <v>639</v>
      </c>
      <c r="J88" s="157"/>
      <c r="K88" s="157">
        <v>5000</v>
      </c>
      <c r="L88" s="158" t="s">
        <v>640</v>
      </c>
      <c r="M88" s="158" t="s">
        <v>68</v>
      </c>
      <c r="N88" s="158"/>
      <c r="O88" s="157"/>
      <c r="P88" s="157">
        <v>5000</v>
      </c>
      <c r="Q88" s="160">
        <v>5000</v>
      </c>
      <c r="R88" s="161">
        <v>5000</v>
      </c>
      <c r="S88" s="161"/>
      <c r="T88" s="161"/>
      <c r="U88" s="161"/>
      <c r="V88" s="161"/>
      <c r="W88" s="161"/>
      <c r="X88" s="161"/>
      <c r="Y88" s="160">
        <f t="shared" si="35"/>
        <v>5000</v>
      </c>
      <c r="Z88" s="162" t="s">
        <v>564</v>
      </c>
      <c r="AA88" s="162" t="s">
        <v>606</v>
      </c>
      <c r="AB88" s="162" t="s">
        <v>607</v>
      </c>
      <c r="AC88" s="163">
        <v>42125</v>
      </c>
      <c r="AD88" s="163">
        <v>42369</v>
      </c>
      <c r="AE88" s="164" t="s">
        <v>153</v>
      </c>
      <c r="AF88" s="191"/>
      <c r="AG88" s="166"/>
      <c r="AH88" s="166"/>
      <c r="AI88" s="166"/>
      <c r="AJ88" s="166"/>
      <c r="AK88" s="166">
        <v>5000</v>
      </c>
      <c r="AL88" s="166"/>
      <c r="AM88" s="166"/>
      <c r="AN88" s="166"/>
      <c r="AO88" s="166"/>
      <c r="AP88" s="166"/>
      <c r="AQ88" s="166"/>
      <c r="AR88" s="166"/>
      <c r="AS88" s="167">
        <f t="shared" si="40"/>
        <v>5000</v>
      </c>
    </row>
    <row r="89" spans="1:45" ht="89.25" hidden="1">
      <c r="A89" s="206" t="s">
        <v>536</v>
      </c>
      <c r="B89" s="189">
        <v>13</v>
      </c>
      <c r="C89" s="216" t="s">
        <v>641</v>
      </c>
      <c r="D89" s="217" t="s">
        <v>642</v>
      </c>
      <c r="E89" s="209" t="s">
        <v>643</v>
      </c>
      <c r="F89" s="209" t="s">
        <v>644</v>
      </c>
      <c r="G89" s="209" t="s">
        <v>645</v>
      </c>
      <c r="H89" s="208" t="s">
        <v>646</v>
      </c>
      <c r="I89" s="208" t="s">
        <v>647</v>
      </c>
      <c r="J89" s="157"/>
      <c r="K89" s="157">
        <v>7000</v>
      </c>
      <c r="L89" s="158" t="s">
        <v>615</v>
      </c>
      <c r="M89" s="158" t="s">
        <v>68</v>
      </c>
      <c r="N89" s="158"/>
      <c r="O89" s="157"/>
      <c r="P89" s="157">
        <v>7000</v>
      </c>
      <c r="Q89" s="160">
        <v>7000</v>
      </c>
      <c r="R89" s="161">
        <v>7000</v>
      </c>
      <c r="S89" s="161"/>
      <c r="T89" s="161"/>
      <c r="U89" s="161"/>
      <c r="V89" s="161"/>
      <c r="W89" s="161"/>
      <c r="X89" s="161"/>
      <c r="Y89" s="160">
        <f t="shared" si="35"/>
        <v>7000</v>
      </c>
      <c r="Z89" s="162" t="s">
        <v>564</v>
      </c>
      <c r="AA89" s="162" t="s">
        <v>606</v>
      </c>
      <c r="AB89" s="162" t="s">
        <v>648</v>
      </c>
      <c r="AC89" s="163">
        <v>42125</v>
      </c>
      <c r="AD89" s="163">
        <v>42369</v>
      </c>
      <c r="AE89" s="164" t="s">
        <v>153</v>
      </c>
      <c r="AF89" s="191"/>
      <c r="AG89" s="166"/>
      <c r="AH89" s="166"/>
      <c r="AI89" s="166"/>
      <c r="AJ89" s="166"/>
      <c r="AK89" s="166">
        <v>3500</v>
      </c>
      <c r="AL89" s="166"/>
      <c r="AM89" s="166">
        <v>3500</v>
      </c>
      <c r="AN89" s="166"/>
      <c r="AO89" s="166"/>
      <c r="AP89" s="166"/>
      <c r="AQ89" s="166"/>
      <c r="AR89" s="166"/>
      <c r="AS89" s="167">
        <f t="shared" si="40"/>
        <v>7000</v>
      </c>
    </row>
    <row r="90" spans="1:45" ht="89.25" hidden="1">
      <c r="A90" s="206" t="s">
        <v>536</v>
      </c>
      <c r="B90" s="189">
        <v>14</v>
      </c>
      <c r="C90" s="218" t="s">
        <v>649</v>
      </c>
      <c r="D90" s="214" t="s">
        <v>650</v>
      </c>
      <c r="E90" s="208" t="s">
        <v>651</v>
      </c>
      <c r="F90" s="208" t="s">
        <v>652</v>
      </c>
      <c r="G90" s="208" t="s">
        <v>653</v>
      </c>
      <c r="H90" s="208" t="s">
        <v>654</v>
      </c>
      <c r="I90" s="208" t="s">
        <v>655</v>
      </c>
      <c r="J90" s="157"/>
      <c r="K90" s="157">
        <v>5000</v>
      </c>
      <c r="L90" s="158" t="s">
        <v>615</v>
      </c>
      <c r="M90" s="158" t="s">
        <v>68</v>
      </c>
      <c r="N90" s="158"/>
      <c r="O90" s="157"/>
      <c r="P90" s="157">
        <v>5000</v>
      </c>
      <c r="Q90" s="160">
        <v>5000</v>
      </c>
      <c r="R90" s="161">
        <v>5000</v>
      </c>
      <c r="S90" s="161"/>
      <c r="T90" s="161"/>
      <c r="U90" s="161"/>
      <c r="V90" s="161"/>
      <c r="W90" s="161"/>
      <c r="X90" s="161"/>
      <c r="Y90" s="160">
        <f t="shared" si="35"/>
        <v>5000</v>
      </c>
      <c r="Z90" s="162" t="s">
        <v>564</v>
      </c>
      <c r="AA90" s="162" t="s">
        <v>606</v>
      </c>
      <c r="AB90" s="162" t="s">
        <v>656</v>
      </c>
      <c r="AC90" s="163">
        <v>42095</v>
      </c>
      <c r="AD90" s="163">
        <v>42369</v>
      </c>
      <c r="AE90" s="164" t="s">
        <v>153</v>
      </c>
      <c r="AF90" s="191"/>
      <c r="AG90" s="166"/>
      <c r="AH90" s="166"/>
      <c r="AI90" s="166"/>
      <c r="AJ90" s="166">
        <v>5000</v>
      </c>
      <c r="AK90" s="166"/>
      <c r="AL90" s="166"/>
      <c r="AM90" s="166"/>
      <c r="AN90" s="166"/>
      <c r="AO90" s="166"/>
      <c r="AP90" s="166"/>
      <c r="AQ90" s="166"/>
      <c r="AR90" s="166"/>
      <c r="AS90" s="167">
        <f t="shared" si="40"/>
        <v>5000</v>
      </c>
    </row>
    <row r="91" spans="1:45" ht="76.5" hidden="1">
      <c r="A91" s="219" t="s">
        <v>536</v>
      </c>
      <c r="B91" s="189">
        <v>15</v>
      </c>
      <c r="C91" s="207" t="s">
        <v>657</v>
      </c>
      <c r="D91" s="220" t="s">
        <v>658</v>
      </c>
      <c r="E91" s="221" t="s">
        <v>659</v>
      </c>
      <c r="F91" s="221" t="s">
        <v>660</v>
      </c>
      <c r="G91" s="221" t="s">
        <v>661</v>
      </c>
      <c r="H91" s="170" t="s">
        <v>662</v>
      </c>
      <c r="I91" s="170" t="s">
        <v>663</v>
      </c>
      <c r="J91" s="157"/>
      <c r="K91" s="157">
        <v>25000</v>
      </c>
      <c r="L91" s="158" t="s">
        <v>664</v>
      </c>
      <c r="M91" s="159" t="s">
        <v>68</v>
      </c>
      <c r="N91" s="159"/>
      <c r="O91" s="157"/>
      <c r="P91" s="157">
        <v>25000</v>
      </c>
      <c r="Q91" s="160">
        <v>25000</v>
      </c>
      <c r="R91" s="161">
        <v>17500</v>
      </c>
      <c r="S91" s="161"/>
      <c r="T91" s="161">
        <v>7500</v>
      </c>
      <c r="U91" s="161"/>
      <c r="V91" s="161"/>
      <c r="W91" s="161"/>
      <c r="X91" s="161"/>
      <c r="Y91" s="160">
        <v>25000</v>
      </c>
      <c r="Z91" s="162" t="s">
        <v>545</v>
      </c>
      <c r="AA91" s="162" t="s">
        <v>606</v>
      </c>
      <c r="AB91" s="162" t="s">
        <v>624</v>
      </c>
      <c r="AC91" s="163">
        <v>42064</v>
      </c>
      <c r="AD91" s="163">
        <v>42369</v>
      </c>
      <c r="AE91" s="164" t="s">
        <v>153</v>
      </c>
      <c r="AF91" s="191"/>
      <c r="AG91" s="166">
        <v>0</v>
      </c>
      <c r="AH91" s="166">
        <v>0</v>
      </c>
      <c r="AI91" s="166">
        <v>13600</v>
      </c>
      <c r="AJ91" s="166">
        <v>3900</v>
      </c>
      <c r="AK91" s="166">
        <v>0</v>
      </c>
      <c r="AL91" s="166">
        <v>0</v>
      </c>
      <c r="AM91" s="166">
        <v>0</v>
      </c>
      <c r="AN91" s="166">
        <v>0</v>
      </c>
      <c r="AO91" s="166">
        <v>0</v>
      </c>
      <c r="AP91" s="166">
        <v>0</v>
      </c>
      <c r="AQ91" s="166">
        <v>0</v>
      </c>
      <c r="AR91" s="166">
        <v>0</v>
      </c>
      <c r="AS91" s="167">
        <v>17500</v>
      </c>
    </row>
    <row r="92" spans="1:45" ht="89.25" hidden="1">
      <c r="A92" s="219" t="s">
        <v>536</v>
      </c>
      <c r="B92" s="189">
        <v>16</v>
      </c>
      <c r="C92" s="207" t="s">
        <v>665</v>
      </c>
      <c r="D92" s="220" t="s">
        <v>658</v>
      </c>
      <c r="E92" s="221" t="s">
        <v>666</v>
      </c>
      <c r="F92" s="221" t="s">
        <v>667</v>
      </c>
      <c r="G92" s="221" t="s">
        <v>668</v>
      </c>
      <c r="H92" s="221" t="s">
        <v>669</v>
      </c>
      <c r="I92" s="170" t="s">
        <v>670</v>
      </c>
      <c r="J92" s="157"/>
      <c r="K92" s="157">
        <v>30000</v>
      </c>
      <c r="L92" s="158" t="s">
        <v>671</v>
      </c>
      <c r="M92" s="159" t="s">
        <v>68</v>
      </c>
      <c r="N92" s="159"/>
      <c r="O92" s="157"/>
      <c r="P92" s="157">
        <v>30000</v>
      </c>
      <c r="Q92" s="160">
        <v>30000</v>
      </c>
      <c r="R92" s="161">
        <v>21000</v>
      </c>
      <c r="S92" s="161"/>
      <c r="T92" s="161">
        <v>9000</v>
      </c>
      <c r="U92" s="161"/>
      <c r="V92" s="161"/>
      <c r="W92" s="161"/>
      <c r="X92" s="161"/>
      <c r="Y92" s="160">
        <v>30000</v>
      </c>
      <c r="Z92" s="162" t="s">
        <v>545</v>
      </c>
      <c r="AA92" s="162" t="s">
        <v>606</v>
      </c>
      <c r="AB92" s="162" t="s">
        <v>672</v>
      </c>
      <c r="AC92" s="163">
        <v>42095</v>
      </c>
      <c r="AD92" s="163" t="s">
        <v>225</v>
      </c>
      <c r="AE92" s="211" t="s">
        <v>153</v>
      </c>
      <c r="AF92" s="191"/>
      <c r="AG92" s="166">
        <v>0</v>
      </c>
      <c r="AH92" s="166">
        <v>0</v>
      </c>
      <c r="AI92" s="166">
        <v>0</v>
      </c>
      <c r="AJ92" s="166">
        <v>15000</v>
      </c>
      <c r="AK92" s="166">
        <v>0</v>
      </c>
      <c r="AL92" s="166">
        <v>6000</v>
      </c>
      <c r="AM92" s="166">
        <v>0</v>
      </c>
      <c r="AN92" s="166">
        <v>0</v>
      </c>
      <c r="AO92" s="166">
        <v>0</v>
      </c>
      <c r="AP92" s="166">
        <v>0</v>
      </c>
      <c r="AQ92" s="166">
        <v>0</v>
      </c>
      <c r="AR92" s="166">
        <v>0</v>
      </c>
      <c r="AS92" s="167">
        <v>21000</v>
      </c>
    </row>
    <row r="93" spans="1:45" ht="63.75" hidden="1">
      <c r="A93" s="219" t="s">
        <v>536</v>
      </c>
      <c r="B93" s="189">
        <v>17</v>
      </c>
      <c r="C93" s="212" t="s">
        <v>673</v>
      </c>
      <c r="D93" s="221" t="s">
        <v>674</v>
      </c>
      <c r="E93" s="221" t="s">
        <v>675</v>
      </c>
      <c r="F93" s="221" t="s">
        <v>676</v>
      </c>
      <c r="G93" s="221" t="s">
        <v>677</v>
      </c>
      <c r="H93" s="170" t="s">
        <v>678</v>
      </c>
      <c r="I93" s="170" t="s">
        <v>679</v>
      </c>
      <c r="J93" s="157"/>
      <c r="K93" s="157">
        <v>20000</v>
      </c>
      <c r="L93" s="158" t="s">
        <v>680</v>
      </c>
      <c r="M93" s="159" t="s">
        <v>68</v>
      </c>
      <c r="N93" s="159"/>
      <c r="O93" s="157"/>
      <c r="P93" s="157">
        <v>20000</v>
      </c>
      <c r="Q93" s="160">
        <v>20000</v>
      </c>
      <c r="R93" s="161">
        <v>10000</v>
      </c>
      <c r="S93" s="161"/>
      <c r="T93" s="161">
        <v>10000</v>
      </c>
      <c r="U93" s="161"/>
      <c r="V93" s="161"/>
      <c r="W93" s="161"/>
      <c r="X93" s="161"/>
      <c r="Y93" s="160">
        <v>20000</v>
      </c>
      <c r="Z93" s="162" t="s">
        <v>545</v>
      </c>
      <c r="AA93" s="162" t="s">
        <v>546</v>
      </c>
      <c r="AB93" s="162" t="s">
        <v>681</v>
      </c>
      <c r="AC93" s="163">
        <v>42064</v>
      </c>
      <c r="AD93" s="163">
        <v>42155</v>
      </c>
      <c r="AE93" s="164" t="s">
        <v>72</v>
      </c>
      <c r="AF93" s="191"/>
      <c r="AG93" s="166">
        <v>0</v>
      </c>
      <c r="AH93" s="166">
        <v>0</v>
      </c>
      <c r="AI93" s="166">
        <v>10000</v>
      </c>
      <c r="AJ93" s="166">
        <v>0</v>
      </c>
      <c r="AK93" s="166">
        <v>0</v>
      </c>
      <c r="AL93" s="166">
        <v>0</v>
      </c>
      <c r="AM93" s="166">
        <v>0</v>
      </c>
      <c r="AN93" s="166">
        <v>0</v>
      </c>
      <c r="AO93" s="166">
        <v>0</v>
      </c>
      <c r="AP93" s="166">
        <v>0</v>
      </c>
      <c r="AQ93" s="166">
        <v>0</v>
      </c>
      <c r="AR93" s="166">
        <v>0</v>
      </c>
      <c r="AS93" s="167">
        <v>10000</v>
      </c>
    </row>
    <row r="94" spans="1:45" hidden="1">
      <c r="A94" s="222"/>
      <c r="B94" s="223"/>
      <c r="C94" s="224"/>
      <c r="D94" s="225"/>
      <c r="E94" s="226"/>
      <c r="F94" s="226"/>
      <c r="G94" s="227"/>
      <c r="H94" s="226"/>
      <c r="I94" s="227"/>
      <c r="J94" s="228">
        <f>SUM(J77:J93)</f>
        <v>46900</v>
      </c>
      <c r="K94" s="228">
        <f t="shared" ref="K94:AF94" si="41">SUM(K77:K93)</f>
        <v>141757.06</v>
      </c>
      <c r="L94" s="228">
        <f t="shared" si="41"/>
        <v>0</v>
      </c>
      <c r="M94" s="228">
        <f t="shared" si="41"/>
        <v>0</v>
      </c>
      <c r="N94" s="228">
        <f t="shared" si="41"/>
        <v>0</v>
      </c>
      <c r="O94" s="228">
        <f t="shared" si="41"/>
        <v>0</v>
      </c>
      <c r="P94" s="228">
        <f t="shared" si="41"/>
        <v>188657.06</v>
      </c>
      <c r="Q94" s="228">
        <f t="shared" si="41"/>
        <v>188657.06</v>
      </c>
      <c r="R94" s="228">
        <f t="shared" si="41"/>
        <v>162157.06</v>
      </c>
      <c r="S94" s="228">
        <f t="shared" si="41"/>
        <v>0</v>
      </c>
      <c r="T94" s="228">
        <f t="shared" si="41"/>
        <v>26500</v>
      </c>
      <c r="U94" s="228">
        <f t="shared" si="41"/>
        <v>0</v>
      </c>
      <c r="V94" s="228">
        <f t="shared" si="41"/>
        <v>0</v>
      </c>
      <c r="W94" s="228">
        <f t="shared" si="41"/>
        <v>0</v>
      </c>
      <c r="X94" s="228">
        <f t="shared" si="41"/>
        <v>0</v>
      </c>
      <c r="Y94" s="228">
        <f t="shared" si="41"/>
        <v>188657.06</v>
      </c>
      <c r="Z94" s="228">
        <f t="shared" si="41"/>
        <v>0</v>
      </c>
      <c r="AA94" s="228">
        <f t="shared" si="41"/>
        <v>0</v>
      </c>
      <c r="AB94" s="228">
        <f t="shared" si="41"/>
        <v>0</v>
      </c>
      <c r="AC94" s="228"/>
      <c r="AD94" s="228"/>
      <c r="AE94" s="228">
        <f t="shared" si="41"/>
        <v>0</v>
      </c>
      <c r="AF94" s="228">
        <f t="shared" si="41"/>
        <v>0</v>
      </c>
      <c r="AG94" s="228">
        <f>SUM(AG77:AG93)</f>
        <v>4052.3599999999997</v>
      </c>
      <c r="AH94" s="228">
        <f t="shared" ref="AH94:AR94" si="42">SUM(AH77:AH93)</f>
        <v>4052.3599999999997</v>
      </c>
      <c r="AI94" s="228">
        <f t="shared" si="42"/>
        <v>30752.36</v>
      </c>
      <c r="AJ94" s="228">
        <f t="shared" si="42"/>
        <v>47952.36</v>
      </c>
      <c r="AK94" s="228">
        <f t="shared" si="42"/>
        <v>24552.36</v>
      </c>
      <c r="AL94" s="228">
        <f t="shared" si="42"/>
        <v>22980.89</v>
      </c>
      <c r="AM94" s="228">
        <f t="shared" si="42"/>
        <v>7552.36</v>
      </c>
      <c r="AN94" s="228">
        <f t="shared" si="42"/>
        <v>4052.3599999999997</v>
      </c>
      <c r="AO94" s="228">
        <f t="shared" si="42"/>
        <v>4052.3599999999997</v>
      </c>
      <c r="AP94" s="228">
        <f t="shared" si="42"/>
        <v>4052.3599999999997</v>
      </c>
      <c r="AQ94" s="228">
        <f t="shared" si="42"/>
        <v>4052.3599999999997</v>
      </c>
      <c r="AR94" s="228">
        <f t="shared" si="42"/>
        <v>4052.5699999999997</v>
      </c>
      <c r="AS94" s="228">
        <f>SUM(AS77:AS93)</f>
        <v>162157.06</v>
      </c>
    </row>
    <row r="95" spans="1:45" ht="140.25" hidden="1">
      <c r="A95" s="229" t="s">
        <v>682</v>
      </c>
      <c r="B95" s="189">
        <v>1</v>
      </c>
      <c r="C95" s="230" t="s">
        <v>683</v>
      </c>
      <c r="D95" s="231" t="s">
        <v>162</v>
      </c>
      <c r="E95" s="232">
        <v>0.1</v>
      </c>
      <c r="F95" s="233" t="s">
        <v>684</v>
      </c>
      <c r="G95" s="178" t="s">
        <v>685</v>
      </c>
      <c r="H95" s="234" t="s">
        <v>686</v>
      </c>
      <c r="I95" s="235" t="s">
        <v>687</v>
      </c>
      <c r="J95" s="157">
        <v>4000</v>
      </c>
      <c r="K95" s="157">
        <v>1000</v>
      </c>
      <c r="L95" s="158" t="s">
        <v>688</v>
      </c>
      <c r="M95" s="158"/>
      <c r="N95" s="158" t="s">
        <v>68</v>
      </c>
      <c r="O95" s="157"/>
      <c r="P95" s="157">
        <v>5000</v>
      </c>
      <c r="Q95" s="160">
        <v>5000</v>
      </c>
      <c r="R95" s="161">
        <v>5000</v>
      </c>
      <c r="S95" s="161"/>
      <c r="T95" s="161"/>
      <c r="U95" s="161"/>
      <c r="V95" s="161"/>
      <c r="W95" s="161"/>
      <c r="X95" s="161"/>
      <c r="Y95" s="160">
        <f t="shared" ref="Y95:Y100" si="43">SUM(R95:X95)</f>
        <v>5000</v>
      </c>
      <c r="Z95" s="162" t="s">
        <v>689</v>
      </c>
      <c r="AA95" s="162" t="s">
        <v>690</v>
      </c>
      <c r="AB95" s="162"/>
      <c r="AC95" s="163"/>
      <c r="AD95" s="163"/>
      <c r="AE95" s="164"/>
      <c r="AF95" s="191"/>
      <c r="AG95" s="166">
        <v>416.64</v>
      </c>
      <c r="AH95" s="166">
        <v>416.66</v>
      </c>
      <c r="AI95" s="166">
        <v>416.64</v>
      </c>
      <c r="AJ95" s="166">
        <v>416.64</v>
      </c>
      <c r="AK95" s="166">
        <v>416.64</v>
      </c>
      <c r="AL95" s="166">
        <v>416.67</v>
      </c>
      <c r="AM95" s="166">
        <v>416.64</v>
      </c>
      <c r="AN95" s="166">
        <v>416.7</v>
      </c>
      <c r="AO95" s="166">
        <v>416.64</v>
      </c>
      <c r="AP95" s="166">
        <v>416.69</v>
      </c>
      <c r="AQ95" s="166">
        <v>416.64</v>
      </c>
      <c r="AR95" s="166">
        <v>416.8</v>
      </c>
      <c r="AS95" s="167">
        <f t="shared" ref="AS95:AS100" si="44">SUM(AG95:AR95)</f>
        <v>5000</v>
      </c>
    </row>
    <row r="96" spans="1:45" ht="165.75" hidden="1">
      <c r="A96" s="229" t="s">
        <v>682</v>
      </c>
      <c r="B96" s="189">
        <v>2</v>
      </c>
      <c r="C96" s="233" t="s">
        <v>691</v>
      </c>
      <c r="D96" s="236" t="s">
        <v>692</v>
      </c>
      <c r="E96" s="237">
        <v>0.25</v>
      </c>
      <c r="F96" s="238" t="s">
        <v>693</v>
      </c>
      <c r="G96" s="239" t="s">
        <v>694</v>
      </c>
      <c r="H96" s="238" t="s">
        <v>695</v>
      </c>
      <c r="I96" s="240" t="s">
        <v>696</v>
      </c>
      <c r="J96" s="157"/>
      <c r="K96" s="157">
        <v>20000</v>
      </c>
      <c r="L96" s="158" t="s">
        <v>697</v>
      </c>
      <c r="M96" s="158"/>
      <c r="N96" s="158" t="s">
        <v>68</v>
      </c>
      <c r="O96" s="157"/>
      <c r="P96" s="157">
        <v>20000</v>
      </c>
      <c r="Q96" s="160">
        <v>20000</v>
      </c>
      <c r="R96" s="161">
        <v>20000</v>
      </c>
      <c r="S96" s="161"/>
      <c r="T96" s="161"/>
      <c r="U96" s="161"/>
      <c r="V96" s="161"/>
      <c r="W96" s="161"/>
      <c r="X96" s="161"/>
      <c r="Y96" s="160">
        <f t="shared" si="43"/>
        <v>20000</v>
      </c>
      <c r="Z96" s="162" t="s">
        <v>545</v>
      </c>
      <c r="AA96" s="162" t="s">
        <v>690</v>
      </c>
      <c r="AB96" s="162" t="s">
        <v>698</v>
      </c>
      <c r="AC96" s="163">
        <v>42036</v>
      </c>
      <c r="AD96" s="163" t="s">
        <v>699</v>
      </c>
      <c r="AE96" s="164"/>
      <c r="AF96" s="191"/>
      <c r="AG96" s="166"/>
      <c r="AH96" s="166">
        <v>4000</v>
      </c>
      <c r="AI96" s="166"/>
      <c r="AJ96" s="166">
        <v>4000</v>
      </c>
      <c r="AK96" s="166"/>
      <c r="AL96" s="166">
        <v>4000</v>
      </c>
      <c r="AM96" s="166"/>
      <c r="AN96" s="166"/>
      <c r="AO96" s="166">
        <v>4000</v>
      </c>
      <c r="AP96" s="166"/>
      <c r="AQ96" s="166">
        <v>4000</v>
      </c>
      <c r="AR96" s="166"/>
      <c r="AS96" s="167">
        <f t="shared" si="44"/>
        <v>20000</v>
      </c>
    </row>
    <row r="97" spans="1:45" ht="76.5" hidden="1">
      <c r="A97" s="229" t="s">
        <v>682</v>
      </c>
      <c r="B97" s="189">
        <v>3</v>
      </c>
      <c r="C97" s="233" t="s">
        <v>700</v>
      </c>
      <c r="D97" s="238" t="s">
        <v>701</v>
      </c>
      <c r="E97" s="237">
        <v>0.25</v>
      </c>
      <c r="F97" s="238" t="s">
        <v>702</v>
      </c>
      <c r="G97" s="239" t="s">
        <v>703</v>
      </c>
      <c r="H97" s="239" t="s">
        <v>704</v>
      </c>
      <c r="I97" s="240" t="s">
        <v>705</v>
      </c>
      <c r="J97" s="157">
        <v>15771.37</v>
      </c>
      <c r="K97" s="157"/>
      <c r="L97" s="158"/>
      <c r="M97" s="158" t="s">
        <v>68</v>
      </c>
      <c r="N97" s="158"/>
      <c r="O97" s="157"/>
      <c r="P97" s="157">
        <v>15771.37</v>
      </c>
      <c r="Q97" s="160">
        <f>SUM(O97:P97)</f>
        <v>15771.37</v>
      </c>
      <c r="R97" s="161">
        <f>+Q97</f>
        <v>15771.37</v>
      </c>
      <c r="S97" s="161"/>
      <c r="T97" s="161"/>
      <c r="U97" s="161"/>
      <c r="V97" s="161"/>
      <c r="W97" s="161"/>
      <c r="X97" s="161"/>
      <c r="Y97" s="160">
        <f t="shared" si="43"/>
        <v>15771.37</v>
      </c>
      <c r="Z97" s="162" t="s">
        <v>545</v>
      </c>
      <c r="AA97" s="162" t="s">
        <v>690</v>
      </c>
      <c r="AB97" s="162" t="s">
        <v>706</v>
      </c>
      <c r="AC97" s="163">
        <v>42036</v>
      </c>
      <c r="AD97" s="163">
        <v>42249</v>
      </c>
      <c r="AE97" s="164" t="s">
        <v>368</v>
      </c>
      <c r="AF97" s="191"/>
      <c r="AG97" s="166">
        <v>4771.37</v>
      </c>
      <c r="AH97" s="166">
        <v>1000</v>
      </c>
      <c r="AI97" s="166">
        <v>1000</v>
      </c>
      <c r="AJ97" s="166">
        <v>1000</v>
      </c>
      <c r="AK97" s="166">
        <v>1000</v>
      </c>
      <c r="AL97" s="166">
        <v>1000</v>
      </c>
      <c r="AM97" s="166">
        <v>1000</v>
      </c>
      <c r="AN97" s="166">
        <v>1000</v>
      </c>
      <c r="AO97" s="166">
        <v>1000</v>
      </c>
      <c r="AP97" s="166">
        <v>1000</v>
      </c>
      <c r="AQ97" s="166">
        <v>1000</v>
      </c>
      <c r="AR97" s="166">
        <v>1000</v>
      </c>
      <c r="AS97" s="167">
        <f t="shared" si="44"/>
        <v>15771.369999999999</v>
      </c>
    </row>
    <row r="98" spans="1:45" ht="76.5" hidden="1">
      <c r="A98" s="229" t="s">
        <v>682</v>
      </c>
      <c r="B98" s="189">
        <v>4</v>
      </c>
      <c r="C98" s="233" t="s">
        <v>707</v>
      </c>
      <c r="D98" s="233" t="s">
        <v>708</v>
      </c>
      <c r="E98" s="232">
        <v>0.2</v>
      </c>
      <c r="F98" s="233" t="s">
        <v>709</v>
      </c>
      <c r="G98" s="239" t="s">
        <v>710</v>
      </c>
      <c r="H98" s="241" t="s">
        <v>711</v>
      </c>
      <c r="I98" s="241" t="s">
        <v>712</v>
      </c>
      <c r="J98" s="157">
        <v>7500</v>
      </c>
      <c r="K98" s="157">
        <v>7500</v>
      </c>
      <c r="L98" s="158" t="s">
        <v>713</v>
      </c>
      <c r="M98" s="158"/>
      <c r="N98" s="158" t="s">
        <v>68</v>
      </c>
      <c r="O98" s="157"/>
      <c r="P98" s="157">
        <v>15000</v>
      </c>
      <c r="Q98" s="160">
        <v>15000</v>
      </c>
      <c r="R98" s="161">
        <f>+Q98</f>
        <v>15000</v>
      </c>
      <c r="S98" s="161"/>
      <c r="T98" s="161"/>
      <c r="U98" s="161"/>
      <c r="V98" s="161"/>
      <c r="W98" s="161"/>
      <c r="X98" s="161"/>
      <c r="Y98" s="160">
        <f t="shared" si="43"/>
        <v>15000</v>
      </c>
      <c r="Z98" s="162" t="s">
        <v>689</v>
      </c>
      <c r="AA98" s="162" t="s">
        <v>690</v>
      </c>
      <c r="AB98" s="162" t="s">
        <v>698</v>
      </c>
      <c r="AC98" s="163">
        <v>42037</v>
      </c>
      <c r="AD98" s="163">
        <v>42366</v>
      </c>
      <c r="AE98" s="164" t="s">
        <v>368</v>
      </c>
      <c r="AF98" s="191"/>
      <c r="AG98" s="166">
        <v>1250</v>
      </c>
      <c r="AH98" s="166">
        <v>1250</v>
      </c>
      <c r="AI98" s="166">
        <v>1250</v>
      </c>
      <c r="AJ98" s="166">
        <v>1250</v>
      </c>
      <c r="AK98" s="166">
        <v>1250</v>
      </c>
      <c r="AL98" s="166">
        <v>1250</v>
      </c>
      <c r="AM98" s="166">
        <v>1250</v>
      </c>
      <c r="AN98" s="166">
        <v>1250</v>
      </c>
      <c r="AO98" s="166">
        <v>1250</v>
      </c>
      <c r="AP98" s="166">
        <v>1250</v>
      </c>
      <c r="AQ98" s="166">
        <v>1250</v>
      </c>
      <c r="AR98" s="166">
        <v>1250</v>
      </c>
      <c r="AS98" s="167">
        <f t="shared" si="44"/>
        <v>15000</v>
      </c>
    </row>
    <row r="99" spans="1:45" ht="102" hidden="1">
      <c r="A99" s="229" t="s">
        <v>682</v>
      </c>
      <c r="B99" s="189">
        <v>5</v>
      </c>
      <c r="C99" s="233" t="s">
        <v>714</v>
      </c>
      <c r="D99" s="242" t="s">
        <v>715</v>
      </c>
      <c r="E99" s="243">
        <v>0.1</v>
      </c>
      <c r="F99" s="233" t="s">
        <v>716</v>
      </c>
      <c r="G99" s="240" t="s">
        <v>717</v>
      </c>
      <c r="H99" s="241" t="s">
        <v>718</v>
      </c>
      <c r="I99" s="241" t="s">
        <v>719</v>
      </c>
      <c r="J99" s="157">
        <v>2500</v>
      </c>
      <c r="K99" s="157">
        <v>2500</v>
      </c>
      <c r="L99" s="158" t="s">
        <v>720</v>
      </c>
      <c r="M99" s="158"/>
      <c r="N99" s="158" t="s">
        <v>68</v>
      </c>
      <c r="O99" s="157"/>
      <c r="P99" s="157">
        <v>5000</v>
      </c>
      <c r="Q99" s="160">
        <v>5000</v>
      </c>
      <c r="R99" s="161">
        <v>5000</v>
      </c>
      <c r="S99" s="161"/>
      <c r="T99" s="161"/>
      <c r="U99" s="161"/>
      <c r="V99" s="161"/>
      <c r="W99" s="161"/>
      <c r="X99" s="161"/>
      <c r="Y99" s="160">
        <f t="shared" si="43"/>
        <v>5000</v>
      </c>
      <c r="Z99" s="162" t="s">
        <v>689</v>
      </c>
      <c r="AA99" s="162" t="s">
        <v>690</v>
      </c>
      <c r="AB99" s="162" t="s">
        <v>698</v>
      </c>
      <c r="AC99" s="163">
        <v>42142</v>
      </c>
      <c r="AD99" s="163">
        <v>42265</v>
      </c>
      <c r="AE99" s="164" t="s">
        <v>368</v>
      </c>
      <c r="AF99" s="191"/>
      <c r="AG99" s="166"/>
      <c r="AH99" s="166"/>
      <c r="AI99" s="166"/>
      <c r="AJ99" s="166"/>
      <c r="AK99" s="166">
        <v>1500</v>
      </c>
      <c r="AL99" s="166">
        <v>1500</v>
      </c>
      <c r="AM99" s="166"/>
      <c r="AN99" s="166">
        <v>1000</v>
      </c>
      <c r="AO99" s="166"/>
      <c r="AP99" s="166">
        <v>1000</v>
      </c>
      <c r="AQ99" s="166"/>
      <c r="AR99" s="166"/>
      <c r="AS99" s="167">
        <f t="shared" si="44"/>
        <v>5000</v>
      </c>
    </row>
    <row r="100" spans="1:45" ht="76.5" hidden="1">
      <c r="A100" s="174" t="s">
        <v>682</v>
      </c>
      <c r="B100" s="199">
        <v>6</v>
      </c>
      <c r="C100" s="244" t="s">
        <v>721</v>
      </c>
      <c r="D100" s="242" t="s">
        <v>722</v>
      </c>
      <c r="E100" s="245">
        <v>0.25</v>
      </c>
      <c r="F100" s="176" t="s">
        <v>723</v>
      </c>
      <c r="G100" s="240" t="s">
        <v>724</v>
      </c>
      <c r="H100" s="242" t="s">
        <v>725</v>
      </c>
      <c r="I100" s="242" t="s">
        <v>726</v>
      </c>
      <c r="J100" s="157">
        <v>15000</v>
      </c>
      <c r="K100" s="157"/>
      <c r="L100" s="158" t="s">
        <v>727</v>
      </c>
      <c r="M100" s="158"/>
      <c r="N100" s="158" t="s">
        <v>68</v>
      </c>
      <c r="O100" s="157"/>
      <c r="P100" s="157">
        <v>15000</v>
      </c>
      <c r="Q100" s="160">
        <v>15000</v>
      </c>
      <c r="R100" s="161">
        <v>15000</v>
      </c>
      <c r="S100" s="161"/>
      <c r="T100" s="161"/>
      <c r="U100" s="161"/>
      <c r="V100" s="161"/>
      <c r="W100" s="161"/>
      <c r="X100" s="161"/>
      <c r="Y100" s="160">
        <f t="shared" si="43"/>
        <v>15000</v>
      </c>
      <c r="Z100" s="162" t="s">
        <v>689</v>
      </c>
      <c r="AA100" s="162" t="s">
        <v>690</v>
      </c>
      <c r="AB100" s="162" t="s">
        <v>698</v>
      </c>
      <c r="AC100" s="163">
        <v>74986</v>
      </c>
      <c r="AD100" s="163" t="s">
        <v>728</v>
      </c>
      <c r="AE100" s="164" t="s">
        <v>368</v>
      </c>
      <c r="AF100" s="191"/>
      <c r="AG100" s="166"/>
      <c r="AH100" s="166"/>
      <c r="AI100" s="166"/>
      <c r="AJ100" s="166">
        <v>3000</v>
      </c>
      <c r="AK100" s="166">
        <v>4500</v>
      </c>
      <c r="AL100" s="166">
        <v>3000</v>
      </c>
      <c r="AM100" s="166">
        <v>3000</v>
      </c>
      <c r="AN100" s="166">
        <v>1500</v>
      </c>
      <c r="AO100" s="166"/>
      <c r="AP100" s="166"/>
      <c r="AQ100" s="166"/>
      <c r="AR100" s="166"/>
      <c r="AS100" s="167">
        <f t="shared" si="44"/>
        <v>15000</v>
      </c>
    </row>
    <row r="101" spans="1:45" ht="63.75" hidden="1">
      <c r="A101" s="174" t="s">
        <v>682</v>
      </c>
      <c r="B101" s="199">
        <v>7</v>
      </c>
      <c r="C101" s="244" t="s">
        <v>729</v>
      </c>
      <c r="D101" s="242" t="s">
        <v>162</v>
      </c>
      <c r="E101" s="245">
        <v>0.1</v>
      </c>
      <c r="F101" s="176" t="s">
        <v>730</v>
      </c>
      <c r="G101" s="240" t="s">
        <v>731</v>
      </c>
      <c r="H101" s="242" t="s">
        <v>732</v>
      </c>
      <c r="I101" s="242" t="s">
        <v>733</v>
      </c>
      <c r="J101" s="157">
        <v>30000</v>
      </c>
      <c r="K101" s="157"/>
      <c r="L101" s="158" t="s">
        <v>734</v>
      </c>
      <c r="M101" s="158"/>
      <c r="N101" s="158" t="s">
        <v>68</v>
      </c>
      <c r="O101" s="157"/>
      <c r="P101" s="157">
        <v>30000</v>
      </c>
      <c r="Q101" s="160">
        <v>30000</v>
      </c>
      <c r="R101" s="161">
        <v>30000</v>
      </c>
      <c r="S101" s="161" t="s">
        <v>212</v>
      </c>
      <c r="T101" s="161"/>
      <c r="U101" s="161"/>
      <c r="V101" s="161"/>
      <c r="W101" s="161"/>
      <c r="X101" s="161"/>
      <c r="Y101" s="160">
        <v>30000</v>
      </c>
      <c r="Z101" s="162" t="s">
        <v>689</v>
      </c>
      <c r="AA101" s="162" t="s">
        <v>690</v>
      </c>
      <c r="AB101" s="162" t="s">
        <v>698</v>
      </c>
      <c r="AC101" s="163">
        <v>42037</v>
      </c>
      <c r="AD101" s="163" t="s">
        <v>728</v>
      </c>
      <c r="AE101" s="164" t="s">
        <v>424</v>
      </c>
      <c r="AF101" s="191"/>
      <c r="AG101" s="166"/>
      <c r="AH101" s="166">
        <v>4285.71</v>
      </c>
      <c r="AI101" s="166">
        <v>4285.71</v>
      </c>
      <c r="AJ101" s="166">
        <v>4285.71</v>
      </c>
      <c r="AK101" s="166">
        <v>4285.71</v>
      </c>
      <c r="AL101" s="166">
        <v>4285.71</v>
      </c>
      <c r="AM101" s="166">
        <v>4285.71</v>
      </c>
      <c r="AN101" s="166">
        <v>4285.74</v>
      </c>
      <c r="AO101" s="166"/>
      <c r="AP101" s="166"/>
      <c r="AQ101" s="166"/>
      <c r="AR101" s="166"/>
      <c r="AS101" s="167">
        <f>AH101+AJ101+AI101+AK101+AL101+AM101+AN101</f>
        <v>30000</v>
      </c>
    </row>
    <row r="102" spans="1:45" ht="51" hidden="1">
      <c r="A102" s="174" t="s">
        <v>682</v>
      </c>
      <c r="B102" s="199">
        <v>8</v>
      </c>
      <c r="C102" s="244" t="s">
        <v>735</v>
      </c>
      <c r="D102" s="242" t="s">
        <v>162</v>
      </c>
      <c r="E102" s="245">
        <v>0.5</v>
      </c>
      <c r="F102" s="176" t="s">
        <v>736</v>
      </c>
      <c r="G102" s="240" t="s">
        <v>737</v>
      </c>
      <c r="H102" s="242" t="s">
        <v>738</v>
      </c>
      <c r="I102" s="242" t="s">
        <v>739</v>
      </c>
      <c r="J102" s="157">
        <v>600000</v>
      </c>
      <c r="K102" s="157"/>
      <c r="L102" s="158" t="s">
        <v>740</v>
      </c>
      <c r="M102" s="158"/>
      <c r="N102" s="158" t="s">
        <v>68</v>
      </c>
      <c r="O102" s="157"/>
      <c r="P102" s="157">
        <v>600000</v>
      </c>
      <c r="Q102" s="160">
        <v>600000</v>
      </c>
      <c r="R102" s="161">
        <v>600000</v>
      </c>
      <c r="S102" s="161"/>
      <c r="T102" s="161"/>
      <c r="U102" s="161"/>
      <c r="V102" s="161"/>
      <c r="W102" s="161"/>
      <c r="X102" s="161"/>
      <c r="Y102" s="160">
        <v>600000</v>
      </c>
      <c r="Z102" s="162" t="s">
        <v>689</v>
      </c>
      <c r="AA102" s="162" t="s">
        <v>690</v>
      </c>
      <c r="AB102" s="162" t="s">
        <v>741</v>
      </c>
      <c r="AC102" s="163">
        <v>42005</v>
      </c>
      <c r="AD102" s="163" t="s">
        <v>742</v>
      </c>
      <c r="AE102" s="164" t="s">
        <v>424</v>
      </c>
      <c r="AF102" s="191"/>
      <c r="AG102" s="166">
        <v>100000</v>
      </c>
      <c r="AH102" s="166">
        <v>100000</v>
      </c>
      <c r="AI102" s="166">
        <v>100000</v>
      </c>
      <c r="AJ102" s="166">
        <v>100000</v>
      </c>
      <c r="AK102" s="166">
        <v>100000</v>
      </c>
      <c r="AL102" s="166">
        <v>100000</v>
      </c>
      <c r="AM102" s="166"/>
      <c r="AN102" s="166"/>
      <c r="AO102" s="166"/>
      <c r="AP102" s="166"/>
      <c r="AQ102" s="166"/>
      <c r="AR102" s="166"/>
      <c r="AS102" s="167">
        <f>SUM(AG102:AR102)</f>
        <v>600000</v>
      </c>
    </row>
    <row r="103" spans="1:45" hidden="1">
      <c r="A103" s="187"/>
      <c r="B103" s="172"/>
      <c r="C103" s="171"/>
      <c r="D103" s="171"/>
      <c r="E103" s="171"/>
      <c r="F103" s="171"/>
      <c r="G103" s="171"/>
      <c r="H103" s="171"/>
      <c r="I103" s="171"/>
      <c r="J103" s="173">
        <f>SUM(J95:J102)</f>
        <v>674771.37</v>
      </c>
      <c r="K103" s="173">
        <f t="shared" ref="K103:AB103" si="45">SUM(K95:K102)</f>
        <v>31000</v>
      </c>
      <c r="L103" s="173">
        <f t="shared" si="45"/>
        <v>0</v>
      </c>
      <c r="M103" s="173">
        <f t="shared" si="45"/>
        <v>0</v>
      </c>
      <c r="N103" s="173">
        <f t="shared" si="45"/>
        <v>0</v>
      </c>
      <c r="O103" s="173">
        <f t="shared" si="45"/>
        <v>0</v>
      </c>
      <c r="P103" s="173">
        <f t="shared" si="45"/>
        <v>705771.37</v>
      </c>
      <c r="Q103" s="173">
        <f t="shared" si="45"/>
        <v>705771.37</v>
      </c>
      <c r="R103" s="173">
        <f t="shared" si="45"/>
        <v>705771.37</v>
      </c>
      <c r="S103" s="173">
        <f t="shared" si="45"/>
        <v>0</v>
      </c>
      <c r="T103" s="173">
        <f t="shared" si="45"/>
        <v>0</v>
      </c>
      <c r="U103" s="173">
        <f t="shared" si="45"/>
        <v>0</v>
      </c>
      <c r="V103" s="173">
        <f t="shared" si="45"/>
        <v>0</v>
      </c>
      <c r="W103" s="173">
        <f t="shared" si="45"/>
        <v>0</v>
      </c>
      <c r="X103" s="173">
        <f t="shared" si="45"/>
        <v>0</v>
      </c>
      <c r="Y103" s="173">
        <f t="shared" si="45"/>
        <v>705771.37</v>
      </c>
      <c r="Z103" s="173">
        <f t="shared" si="45"/>
        <v>0</v>
      </c>
      <c r="AA103" s="173">
        <f t="shared" si="45"/>
        <v>0</v>
      </c>
      <c r="AB103" s="173">
        <f t="shared" si="45"/>
        <v>0</v>
      </c>
      <c r="AC103" s="173"/>
      <c r="AD103" s="173"/>
      <c r="AE103" s="173">
        <f t="shared" ref="AE103:AR103" si="46">SUM(AE95:AE102)</f>
        <v>0</v>
      </c>
      <c r="AF103" s="173">
        <f t="shared" si="46"/>
        <v>0</v>
      </c>
      <c r="AG103" s="173">
        <f t="shared" si="46"/>
        <v>106438.01</v>
      </c>
      <c r="AH103" s="173">
        <f t="shared" si="46"/>
        <v>110952.37</v>
      </c>
      <c r="AI103" s="173">
        <f t="shared" si="46"/>
        <v>106952.35</v>
      </c>
      <c r="AJ103" s="173">
        <f t="shared" si="46"/>
        <v>113952.35</v>
      </c>
      <c r="AK103" s="173">
        <f t="shared" si="46"/>
        <v>112952.35</v>
      </c>
      <c r="AL103" s="173">
        <f t="shared" si="46"/>
        <v>115452.38</v>
      </c>
      <c r="AM103" s="173">
        <f t="shared" si="46"/>
        <v>9952.3499999999985</v>
      </c>
      <c r="AN103" s="173">
        <f t="shared" si="46"/>
        <v>9452.4399999999987</v>
      </c>
      <c r="AO103" s="173">
        <f t="shared" si="46"/>
        <v>6666.64</v>
      </c>
      <c r="AP103" s="173">
        <f t="shared" si="46"/>
        <v>3666.69</v>
      </c>
      <c r="AQ103" s="173">
        <f t="shared" si="46"/>
        <v>6666.64</v>
      </c>
      <c r="AR103" s="173">
        <f t="shared" si="46"/>
        <v>2666.8</v>
      </c>
      <c r="AS103" s="173">
        <f>SUM(AS95:AS102)</f>
        <v>705771.37</v>
      </c>
    </row>
    <row r="104" spans="1:45" ht="155.25" hidden="1" customHeight="1">
      <c r="A104" s="246" t="s">
        <v>743</v>
      </c>
      <c r="B104" s="247">
        <v>1</v>
      </c>
      <c r="C104" s="248" t="s">
        <v>744</v>
      </c>
      <c r="D104" s="249" t="s">
        <v>745</v>
      </c>
      <c r="E104" s="250"/>
      <c r="F104" s="250" t="s">
        <v>746</v>
      </c>
      <c r="G104" s="250" t="s">
        <v>747</v>
      </c>
      <c r="H104" s="250" t="s">
        <v>748</v>
      </c>
      <c r="I104" s="250" t="s">
        <v>749</v>
      </c>
      <c r="J104" s="251">
        <v>42937.11</v>
      </c>
      <c r="K104" s="252">
        <v>0</v>
      </c>
      <c r="L104" s="253" t="s">
        <v>750</v>
      </c>
      <c r="M104" s="254" t="s">
        <v>68</v>
      </c>
      <c r="N104" s="255"/>
      <c r="O104" s="252">
        <v>11937.11</v>
      </c>
      <c r="P104" s="256">
        <v>31000</v>
      </c>
      <c r="Q104" s="160">
        <v>42937.11</v>
      </c>
      <c r="R104" s="257">
        <v>42937.11</v>
      </c>
      <c r="S104" s="257" t="s">
        <v>751</v>
      </c>
      <c r="T104" s="257" t="s">
        <v>751</v>
      </c>
      <c r="U104" s="257" t="s">
        <v>751</v>
      </c>
      <c r="V104" s="257"/>
      <c r="W104" s="257"/>
      <c r="X104" s="257"/>
      <c r="Y104" s="160">
        <v>42937.11</v>
      </c>
      <c r="Z104" s="258"/>
      <c r="AA104" s="258" t="s">
        <v>752</v>
      </c>
      <c r="AB104" s="258" t="s">
        <v>753</v>
      </c>
      <c r="AC104" s="259">
        <v>42339</v>
      </c>
      <c r="AD104" s="259" t="s">
        <v>754</v>
      </c>
      <c r="AE104" s="260" t="s">
        <v>755</v>
      </c>
      <c r="AF104" s="261"/>
      <c r="AG104" s="262"/>
      <c r="AH104" s="262">
        <v>34493.71</v>
      </c>
      <c r="AI104" s="262">
        <v>493.71</v>
      </c>
      <c r="AJ104" s="262">
        <v>2493.71</v>
      </c>
      <c r="AK104" s="262">
        <v>2493.71</v>
      </c>
      <c r="AL104" s="262">
        <v>493.71</v>
      </c>
      <c r="AM104" s="262">
        <v>493.71</v>
      </c>
      <c r="AN104" s="262">
        <v>493.71</v>
      </c>
      <c r="AO104" s="262">
        <v>493.71</v>
      </c>
      <c r="AP104" s="262">
        <v>493.71</v>
      </c>
      <c r="AQ104" s="262">
        <v>493.72</v>
      </c>
      <c r="AR104" s="262">
        <v>0</v>
      </c>
      <c r="AS104" s="262">
        <v>42937.11</v>
      </c>
    </row>
    <row r="105" spans="1:45" hidden="1">
      <c r="A105" s="263"/>
      <c r="B105" s="263"/>
      <c r="C105" s="263"/>
      <c r="D105" s="263"/>
      <c r="E105" s="263"/>
      <c r="F105" s="263"/>
      <c r="G105" s="263"/>
      <c r="H105" s="263"/>
      <c r="I105" s="263"/>
      <c r="J105" s="264">
        <f>SUM(J104)</f>
        <v>42937.11</v>
      </c>
      <c r="K105" s="264">
        <f>SUM(K104)</f>
        <v>0</v>
      </c>
      <c r="L105" s="263"/>
      <c r="M105" s="263"/>
      <c r="N105" s="263"/>
      <c r="O105" s="264">
        <f>SUM(O104)</f>
        <v>11937.11</v>
      </c>
      <c r="P105" s="264">
        <f t="shared" ref="P105:Y105" si="47">SUM(P104)</f>
        <v>31000</v>
      </c>
      <c r="Q105" s="264">
        <f t="shared" si="47"/>
        <v>42937.11</v>
      </c>
      <c r="R105" s="265">
        <f t="shared" si="47"/>
        <v>42937.11</v>
      </c>
      <c r="S105" s="265">
        <f t="shared" si="47"/>
        <v>0</v>
      </c>
      <c r="T105" s="265">
        <f t="shared" si="47"/>
        <v>0</v>
      </c>
      <c r="U105" s="265">
        <f t="shared" si="47"/>
        <v>0</v>
      </c>
      <c r="V105" s="265">
        <f t="shared" si="47"/>
        <v>0</v>
      </c>
      <c r="W105" s="265">
        <f t="shared" si="47"/>
        <v>0</v>
      </c>
      <c r="X105" s="265">
        <f t="shared" si="47"/>
        <v>0</v>
      </c>
      <c r="Y105" s="265">
        <f t="shared" si="47"/>
        <v>42937.11</v>
      </c>
      <c r="Z105" s="263"/>
      <c r="AA105" s="263"/>
      <c r="AB105" s="263"/>
      <c r="AC105" s="263"/>
      <c r="AD105" s="263"/>
      <c r="AE105" s="263"/>
      <c r="AF105" s="263"/>
      <c r="AG105" s="264">
        <f>SUM(AG104)</f>
        <v>0</v>
      </c>
      <c r="AH105" s="264">
        <f t="shared" ref="AH105:AS105" si="48">SUM(AH104)</f>
        <v>34493.71</v>
      </c>
      <c r="AI105" s="264">
        <f t="shared" si="48"/>
        <v>493.71</v>
      </c>
      <c r="AJ105" s="264">
        <f t="shared" si="48"/>
        <v>2493.71</v>
      </c>
      <c r="AK105" s="264">
        <f t="shared" si="48"/>
        <v>2493.71</v>
      </c>
      <c r="AL105" s="264">
        <f t="shared" si="48"/>
        <v>493.71</v>
      </c>
      <c r="AM105" s="264">
        <f t="shared" si="48"/>
        <v>493.71</v>
      </c>
      <c r="AN105" s="264">
        <f t="shared" si="48"/>
        <v>493.71</v>
      </c>
      <c r="AO105" s="264">
        <f t="shared" si="48"/>
        <v>493.71</v>
      </c>
      <c r="AP105" s="264">
        <f t="shared" si="48"/>
        <v>493.71</v>
      </c>
      <c r="AQ105" s="264">
        <f t="shared" si="48"/>
        <v>493.72</v>
      </c>
      <c r="AR105" s="264">
        <f t="shared" si="48"/>
        <v>0</v>
      </c>
      <c r="AS105" s="264">
        <f t="shared" si="48"/>
        <v>42937.11</v>
      </c>
    </row>
    <row r="106" spans="1:45" ht="63.75" hidden="1">
      <c r="A106" s="266" t="s">
        <v>756</v>
      </c>
      <c r="B106" s="189">
        <v>1</v>
      </c>
      <c r="C106" s="176" t="s">
        <v>757</v>
      </c>
      <c r="D106" s="267" t="s">
        <v>162</v>
      </c>
      <c r="E106" s="268" t="s">
        <v>758</v>
      </c>
      <c r="F106" s="269" t="s">
        <v>759</v>
      </c>
      <c r="G106" s="155" t="s">
        <v>760</v>
      </c>
      <c r="H106" s="156" t="s">
        <v>761</v>
      </c>
      <c r="I106" s="156" t="s">
        <v>762</v>
      </c>
      <c r="J106" s="157">
        <v>35000</v>
      </c>
      <c r="K106" s="157"/>
      <c r="L106" s="158" t="s">
        <v>763</v>
      </c>
      <c r="M106" s="159" t="s">
        <v>68</v>
      </c>
      <c r="N106" s="159"/>
      <c r="O106" s="157"/>
      <c r="P106" s="157">
        <v>35000</v>
      </c>
      <c r="Q106" s="160">
        <f>SUM(O106:P106)</f>
        <v>35000</v>
      </c>
      <c r="R106" s="161">
        <v>35000</v>
      </c>
      <c r="S106" s="161"/>
      <c r="T106" s="161"/>
      <c r="U106" s="161"/>
      <c r="V106" s="161"/>
      <c r="W106" s="161"/>
      <c r="X106" s="161"/>
      <c r="Y106" s="160">
        <f t="shared" ref="Y106:Y111" si="49">SUM(R106:X106)</f>
        <v>35000</v>
      </c>
      <c r="Z106" s="162" t="s">
        <v>764</v>
      </c>
      <c r="AA106" s="162" t="s">
        <v>765</v>
      </c>
      <c r="AB106" s="162" t="s">
        <v>766</v>
      </c>
      <c r="AC106" s="163">
        <v>42064</v>
      </c>
      <c r="AD106" s="163" t="s">
        <v>71</v>
      </c>
      <c r="AE106" s="164" t="s">
        <v>72</v>
      </c>
      <c r="AF106" s="191"/>
      <c r="AG106" s="166"/>
      <c r="AH106" s="166"/>
      <c r="AI106" s="166">
        <v>8750</v>
      </c>
      <c r="AJ106" s="166">
        <v>8750</v>
      </c>
      <c r="AK106" s="166">
        <v>8750</v>
      </c>
      <c r="AL106" s="166">
        <v>8750</v>
      </c>
      <c r="AM106" s="166"/>
      <c r="AN106" s="166"/>
      <c r="AO106" s="166"/>
      <c r="AP106" s="166"/>
      <c r="AQ106" s="166"/>
      <c r="AR106" s="166"/>
      <c r="AS106" s="167">
        <f>SUM(AG106:AR106)</f>
        <v>35000</v>
      </c>
    </row>
    <row r="107" spans="1:45" ht="51" hidden="1">
      <c r="A107" s="266" t="s">
        <v>756</v>
      </c>
      <c r="B107" s="169">
        <v>2</v>
      </c>
      <c r="C107" s="270" t="s">
        <v>767</v>
      </c>
      <c r="D107" s="267" t="s">
        <v>162</v>
      </c>
      <c r="E107" s="271" t="s">
        <v>768</v>
      </c>
      <c r="F107" s="155" t="s">
        <v>769</v>
      </c>
      <c r="G107" s="155" t="s">
        <v>760</v>
      </c>
      <c r="H107" s="156" t="s">
        <v>770</v>
      </c>
      <c r="I107" s="156" t="s">
        <v>762</v>
      </c>
      <c r="J107" s="157">
        <v>28000</v>
      </c>
      <c r="K107" s="157"/>
      <c r="L107" s="158" t="s">
        <v>763</v>
      </c>
      <c r="M107" s="159" t="s">
        <v>68</v>
      </c>
      <c r="N107" s="159"/>
      <c r="O107" s="157"/>
      <c r="P107" s="157">
        <v>28000</v>
      </c>
      <c r="Q107" s="160">
        <f>SUM(O107:P107)</f>
        <v>28000</v>
      </c>
      <c r="R107" s="161">
        <v>28000</v>
      </c>
      <c r="S107" s="161"/>
      <c r="T107" s="161"/>
      <c r="U107" s="161"/>
      <c r="V107" s="161"/>
      <c r="W107" s="161"/>
      <c r="X107" s="161"/>
      <c r="Y107" s="160">
        <f t="shared" si="49"/>
        <v>28000</v>
      </c>
      <c r="Z107" s="162" t="s">
        <v>764</v>
      </c>
      <c r="AA107" s="162" t="s">
        <v>771</v>
      </c>
      <c r="AB107" s="162" t="s">
        <v>772</v>
      </c>
      <c r="AC107" s="163">
        <v>42064</v>
      </c>
      <c r="AD107" s="163" t="s">
        <v>225</v>
      </c>
      <c r="AE107" s="164" t="s">
        <v>72</v>
      </c>
      <c r="AF107" s="191"/>
      <c r="AG107" s="166"/>
      <c r="AH107" s="166"/>
      <c r="AI107" s="166">
        <v>7000</v>
      </c>
      <c r="AJ107" s="166">
        <v>7000</v>
      </c>
      <c r="AK107" s="166">
        <v>7000</v>
      </c>
      <c r="AL107" s="166">
        <v>7000</v>
      </c>
      <c r="AM107" s="166"/>
      <c r="AN107" s="166"/>
      <c r="AO107" s="166"/>
      <c r="AP107" s="166"/>
      <c r="AQ107" s="166"/>
      <c r="AR107" s="166"/>
      <c r="AS107" s="167">
        <f>SUM(AG107:AR107)</f>
        <v>28000</v>
      </c>
    </row>
    <row r="108" spans="1:45" ht="63.75" hidden="1">
      <c r="A108" s="266" t="s">
        <v>756</v>
      </c>
      <c r="B108" s="169">
        <v>3</v>
      </c>
      <c r="C108" s="272" t="s">
        <v>773</v>
      </c>
      <c r="D108" s="273" t="s">
        <v>162</v>
      </c>
      <c r="E108" s="271" t="s">
        <v>774</v>
      </c>
      <c r="F108" s="269" t="s">
        <v>775</v>
      </c>
      <c r="G108" s="155" t="s">
        <v>776</v>
      </c>
      <c r="H108" s="156" t="s">
        <v>777</v>
      </c>
      <c r="I108" s="156" t="s">
        <v>778</v>
      </c>
      <c r="J108" s="157">
        <v>27900</v>
      </c>
      <c r="K108" s="157"/>
      <c r="L108" s="158" t="s">
        <v>779</v>
      </c>
      <c r="M108" s="159"/>
      <c r="N108" s="159" t="s">
        <v>114</v>
      </c>
      <c r="O108" s="157"/>
      <c r="P108" s="157">
        <v>27900</v>
      </c>
      <c r="Q108" s="160">
        <f t="shared" ref="Q108" si="50">SUM(O108:P108)</f>
        <v>27900</v>
      </c>
      <c r="R108" s="161">
        <v>27900</v>
      </c>
      <c r="S108" s="161"/>
      <c r="T108" s="161"/>
      <c r="U108" s="161"/>
      <c r="V108" s="161"/>
      <c r="W108" s="161"/>
      <c r="X108" s="161"/>
      <c r="Y108" s="160">
        <f t="shared" si="49"/>
        <v>27900</v>
      </c>
      <c r="Z108" s="162" t="s">
        <v>780</v>
      </c>
      <c r="AA108" s="162" t="s">
        <v>781</v>
      </c>
      <c r="AB108" s="162" t="s">
        <v>782</v>
      </c>
      <c r="AC108" s="163">
        <v>42064</v>
      </c>
      <c r="AD108" s="163">
        <v>42155</v>
      </c>
      <c r="AE108" s="164" t="s">
        <v>72</v>
      </c>
      <c r="AF108" s="191"/>
      <c r="AG108" s="166"/>
      <c r="AH108" s="166"/>
      <c r="AI108" s="166">
        <v>9300</v>
      </c>
      <c r="AJ108" s="166">
        <v>9300</v>
      </c>
      <c r="AK108" s="166">
        <v>9300</v>
      </c>
      <c r="AL108" s="166"/>
      <c r="AM108" s="166"/>
      <c r="AN108" s="166"/>
      <c r="AO108" s="166"/>
      <c r="AP108" s="166"/>
      <c r="AQ108" s="166"/>
      <c r="AR108" s="166"/>
      <c r="AS108" s="167">
        <f t="shared" ref="AS108:AS110" si="51">SUM(AG108:AR108)</f>
        <v>27900</v>
      </c>
    </row>
    <row r="109" spans="1:45" ht="63.75" hidden="1">
      <c r="A109" s="266" t="s">
        <v>756</v>
      </c>
      <c r="B109" s="169">
        <v>4</v>
      </c>
      <c r="C109" s="272" t="s">
        <v>783</v>
      </c>
      <c r="D109" s="273" t="s">
        <v>162</v>
      </c>
      <c r="E109" s="271" t="s">
        <v>784</v>
      </c>
      <c r="F109" s="269" t="s">
        <v>785</v>
      </c>
      <c r="G109" s="155" t="s">
        <v>786</v>
      </c>
      <c r="H109" s="156" t="s">
        <v>787</v>
      </c>
      <c r="I109" s="156" t="s">
        <v>788</v>
      </c>
      <c r="J109" s="157">
        <v>10000</v>
      </c>
      <c r="K109" s="157"/>
      <c r="L109" s="158" t="s">
        <v>789</v>
      </c>
      <c r="M109" s="159" t="s">
        <v>68</v>
      </c>
      <c r="N109" s="159"/>
      <c r="O109" s="157"/>
      <c r="P109" s="157">
        <v>10000</v>
      </c>
      <c r="Q109" s="160">
        <v>10000</v>
      </c>
      <c r="R109" s="161">
        <v>10000</v>
      </c>
      <c r="S109" s="161"/>
      <c r="T109" s="161"/>
      <c r="U109" s="161"/>
      <c r="V109" s="161"/>
      <c r="W109" s="161"/>
      <c r="X109" s="161"/>
      <c r="Y109" s="160">
        <v>10000</v>
      </c>
      <c r="Z109" s="162" t="s">
        <v>780</v>
      </c>
      <c r="AA109" s="162" t="s">
        <v>790</v>
      </c>
      <c r="AB109" s="162" t="s">
        <v>791</v>
      </c>
      <c r="AC109" s="163">
        <v>42064</v>
      </c>
      <c r="AD109" s="163" t="s">
        <v>792</v>
      </c>
      <c r="AE109" s="164" t="s">
        <v>153</v>
      </c>
      <c r="AF109" s="191"/>
      <c r="AG109" s="166"/>
      <c r="AH109" s="166"/>
      <c r="AI109" s="166">
        <v>5000</v>
      </c>
      <c r="AJ109" s="166">
        <v>5000</v>
      </c>
      <c r="AK109" s="166"/>
      <c r="AL109" s="166"/>
      <c r="AM109" s="166"/>
      <c r="AN109" s="166"/>
      <c r="AO109" s="166"/>
      <c r="AP109" s="166"/>
      <c r="AQ109" s="166"/>
      <c r="AR109" s="166"/>
      <c r="AS109" s="167">
        <f t="shared" si="51"/>
        <v>10000</v>
      </c>
    </row>
    <row r="110" spans="1:45" ht="89.25" hidden="1">
      <c r="A110" s="266" t="s">
        <v>756</v>
      </c>
      <c r="B110" s="169">
        <v>5</v>
      </c>
      <c r="C110" s="274" t="s">
        <v>793</v>
      </c>
      <c r="D110" s="273" t="s">
        <v>162</v>
      </c>
      <c r="E110" s="275" t="s">
        <v>794</v>
      </c>
      <c r="F110" s="168" t="s">
        <v>795</v>
      </c>
      <c r="G110" s="168" t="s">
        <v>796</v>
      </c>
      <c r="H110" s="275" t="s">
        <v>797</v>
      </c>
      <c r="I110" s="275" t="s">
        <v>798</v>
      </c>
      <c r="J110" s="157">
        <v>21439.19</v>
      </c>
      <c r="K110" s="157"/>
      <c r="L110" s="158" t="s">
        <v>799</v>
      </c>
      <c r="M110" s="159" t="s">
        <v>68</v>
      </c>
      <c r="N110" s="159"/>
      <c r="O110" s="157"/>
      <c r="P110" s="157">
        <v>21439.19</v>
      </c>
      <c r="Q110" s="160">
        <f>SUM(O110:P110)</f>
        <v>21439.19</v>
      </c>
      <c r="R110" s="161">
        <v>21439.19</v>
      </c>
      <c r="S110" s="161"/>
      <c r="T110" s="161"/>
      <c r="U110" s="161"/>
      <c r="V110" s="161"/>
      <c r="W110" s="161"/>
      <c r="X110" s="161"/>
      <c r="Y110" s="160">
        <f t="shared" si="49"/>
        <v>21439.19</v>
      </c>
      <c r="Z110" s="162" t="s">
        <v>780</v>
      </c>
      <c r="AA110" s="162" t="s">
        <v>800</v>
      </c>
      <c r="AB110" s="162" t="s">
        <v>801</v>
      </c>
      <c r="AC110" s="163">
        <v>41640</v>
      </c>
      <c r="AD110" s="163">
        <v>41698</v>
      </c>
      <c r="AE110" s="211" t="s">
        <v>153</v>
      </c>
      <c r="AF110" s="191"/>
      <c r="AG110" s="166">
        <v>10719.6</v>
      </c>
      <c r="AH110" s="166">
        <v>10719.59</v>
      </c>
      <c r="AI110" s="166"/>
      <c r="AJ110" s="166"/>
      <c r="AK110" s="166"/>
      <c r="AL110" s="166"/>
      <c r="AM110" s="166"/>
      <c r="AN110" s="166"/>
      <c r="AO110" s="166"/>
      <c r="AP110" s="166"/>
      <c r="AQ110" s="166"/>
      <c r="AR110" s="166"/>
      <c r="AS110" s="167">
        <f t="shared" si="51"/>
        <v>21439.190000000002</v>
      </c>
    </row>
    <row r="111" spans="1:45" ht="114.75" hidden="1">
      <c r="A111" s="276" t="s">
        <v>756</v>
      </c>
      <c r="B111" s="169">
        <v>6</v>
      </c>
      <c r="C111" s="270" t="s">
        <v>802</v>
      </c>
      <c r="D111" s="267" t="s">
        <v>658</v>
      </c>
      <c r="E111" s="277" t="s">
        <v>803</v>
      </c>
      <c r="F111" s="277" t="s">
        <v>804</v>
      </c>
      <c r="G111" s="155" t="s">
        <v>805</v>
      </c>
      <c r="H111" s="278" t="s">
        <v>806</v>
      </c>
      <c r="I111" s="278" t="s">
        <v>807</v>
      </c>
      <c r="J111" s="157"/>
      <c r="K111" s="157">
        <v>5000</v>
      </c>
      <c r="L111" s="279" t="s">
        <v>808</v>
      </c>
      <c r="M111" s="159" t="s">
        <v>68</v>
      </c>
      <c r="N111" s="159"/>
      <c r="O111" s="157"/>
      <c r="P111" s="157">
        <v>5000</v>
      </c>
      <c r="Q111" s="160">
        <f>SUM(O111:P111)</f>
        <v>5000</v>
      </c>
      <c r="R111" s="161">
        <v>2500</v>
      </c>
      <c r="S111" s="161"/>
      <c r="T111" s="161">
        <v>2500</v>
      </c>
      <c r="U111" s="161"/>
      <c r="V111" s="161"/>
      <c r="W111" s="161"/>
      <c r="X111" s="161"/>
      <c r="Y111" s="160">
        <f t="shared" si="49"/>
        <v>5000</v>
      </c>
      <c r="Z111" s="162" t="s">
        <v>764</v>
      </c>
      <c r="AA111" s="162" t="s">
        <v>809</v>
      </c>
      <c r="AB111" s="162" t="s">
        <v>810</v>
      </c>
      <c r="AC111" s="163">
        <v>42217</v>
      </c>
      <c r="AD111" s="163">
        <v>42247</v>
      </c>
      <c r="AE111" s="164" t="s">
        <v>811</v>
      </c>
      <c r="AF111" s="191"/>
      <c r="AG111" s="166"/>
      <c r="AH111" s="166"/>
      <c r="AI111" s="166"/>
      <c r="AJ111" s="166"/>
      <c r="AK111" s="166"/>
      <c r="AL111" s="166"/>
      <c r="AM111" s="166"/>
      <c r="AN111" s="166">
        <v>2500</v>
      </c>
      <c r="AO111" s="166"/>
      <c r="AP111" s="166"/>
      <c r="AQ111" s="166"/>
      <c r="AR111" s="166"/>
      <c r="AS111" s="167">
        <f>SUM(AG111:AR111)</f>
        <v>2500</v>
      </c>
    </row>
    <row r="112" spans="1:45" hidden="1">
      <c r="A112" s="187"/>
      <c r="B112" s="172"/>
      <c r="C112" s="171"/>
      <c r="D112" s="171"/>
      <c r="E112" s="171"/>
      <c r="F112" s="171"/>
      <c r="G112" s="171"/>
      <c r="H112" s="171"/>
      <c r="I112" s="171"/>
      <c r="J112" s="173">
        <f>SUM(J106:J111)</f>
        <v>122339.19</v>
      </c>
      <c r="K112" s="173">
        <f t="shared" ref="K112:AR112" si="52">SUM(K106:K111)</f>
        <v>5000</v>
      </c>
      <c r="L112" s="173">
        <f t="shared" si="52"/>
        <v>0</v>
      </c>
      <c r="M112" s="173">
        <f t="shared" si="52"/>
        <v>0</v>
      </c>
      <c r="N112" s="173">
        <f t="shared" si="52"/>
        <v>0</v>
      </c>
      <c r="O112" s="173">
        <f t="shared" si="52"/>
        <v>0</v>
      </c>
      <c r="P112" s="173">
        <f t="shared" si="52"/>
        <v>127339.19</v>
      </c>
      <c r="Q112" s="173">
        <f t="shared" si="52"/>
        <v>127339.19</v>
      </c>
      <c r="R112" s="173">
        <f t="shared" si="52"/>
        <v>124839.19</v>
      </c>
      <c r="S112" s="173">
        <f t="shared" si="52"/>
        <v>0</v>
      </c>
      <c r="T112" s="173">
        <f t="shared" si="52"/>
        <v>2500</v>
      </c>
      <c r="U112" s="173">
        <f t="shared" si="52"/>
        <v>0</v>
      </c>
      <c r="V112" s="173">
        <f t="shared" si="52"/>
        <v>0</v>
      </c>
      <c r="W112" s="173">
        <f t="shared" si="52"/>
        <v>0</v>
      </c>
      <c r="X112" s="173">
        <f t="shared" si="52"/>
        <v>0</v>
      </c>
      <c r="Y112" s="173">
        <f t="shared" si="52"/>
        <v>127339.19</v>
      </c>
      <c r="Z112" s="173">
        <f t="shared" si="52"/>
        <v>0</v>
      </c>
      <c r="AA112" s="173">
        <f t="shared" si="52"/>
        <v>0</v>
      </c>
      <c r="AB112" s="173">
        <f t="shared" si="52"/>
        <v>0</v>
      </c>
      <c r="AC112" s="173"/>
      <c r="AD112" s="173"/>
      <c r="AE112" s="173">
        <f t="shared" si="52"/>
        <v>0</v>
      </c>
      <c r="AF112" s="173">
        <f t="shared" si="52"/>
        <v>0</v>
      </c>
      <c r="AG112" s="173">
        <f t="shared" si="52"/>
        <v>10719.6</v>
      </c>
      <c r="AH112" s="173">
        <f t="shared" si="52"/>
        <v>10719.59</v>
      </c>
      <c r="AI112" s="173">
        <f t="shared" si="52"/>
        <v>30050</v>
      </c>
      <c r="AJ112" s="173">
        <f t="shared" si="52"/>
        <v>30050</v>
      </c>
      <c r="AK112" s="173">
        <f t="shared" si="52"/>
        <v>25050</v>
      </c>
      <c r="AL112" s="173">
        <f t="shared" si="52"/>
        <v>15750</v>
      </c>
      <c r="AM112" s="173">
        <f t="shared" si="52"/>
        <v>0</v>
      </c>
      <c r="AN112" s="173">
        <f t="shared" si="52"/>
        <v>2500</v>
      </c>
      <c r="AO112" s="173">
        <f t="shared" si="52"/>
        <v>0</v>
      </c>
      <c r="AP112" s="173">
        <f t="shared" si="52"/>
        <v>0</v>
      </c>
      <c r="AQ112" s="173">
        <f t="shared" si="52"/>
        <v>0</v>
      </c>
      <c r="AR112" s="173">
        <f t="shared" si="52"/>
        <v>0</v>
      </c>
      <c r="AS112" s="173">
        <f>SUM(AS106:AS111)</f>
        <v>124839.19</v>
      </c>
    </row>
    <row r="113" spans="1:45" ht="89.25" hidden="1">
      <c r="A113" s="266" t="s">
        <v>812</v>
      </c>
      <c r="B113" s="169">
        <v>1</v>
      </c>
      <c r="C113" s="270" t="s">
        <v>813</v>
      </c>
      <c r="D113" s="273" t="s">
        <v>162</v>
      </c>
      <c r="E113" s="240" t="s">
        <v>814</v>
      </c>
      <c r="F113" s="239" t="s">
        <v>815</v>
      </c>
      <c r="G113" s="239"/>
      <c r="H113" s="240" t="s">
        <v>816</v>
      </c>
      <c r="I113" s="156" t="s">
        <v>817</v>
      </c>
      <c r="J113" s="157">
        <v>30000</v>
      </c>
      <c r="K113" s="157"/>
      <c r="L113" s="158">
        <v>2500</v>
      </c>
      <c r="M113" s="159" t="s">
        <v>68</v>
      </c>
      <c r="N113" s="159" t="s">
        <v>68</v>
      </c>
      <c r="O113" s="157"/>
      <c r="P113" s="157">
        <v>30000</v>
      </c>
      <c r="Q113" s="160">
        <v>30000</v>
      </c>
      <c r="R113" s="161">
        <v>30000</v>
      </c>
      <c r="S113" s="161"/>
      <c r="T113" s="161"/>
      <c r="U113" s="161"/>
      <c r="V113" s="161"/>
      <c r="W113" s="161"/>
      <c r="X113" s="161"/>
      <c r="Y113" s="160">
        <v>30000</v>
      </c>
      <c r="Z113" s="162" t="s">
        <v>818</v>
      </c>
      <c r="AA113" s="162" t="s">
        <v>818</v>
      </c>
      <c r="AB113" s="162" t="s">
        <v>819</v>
      </c>
      <c r="AC113" s="163">
        <v>42065</v>
      </c>
      <c r="AD113" s="163">
        <v>42156</v>
      </c>
      <c r="AE113" s="164" t="s">
        <v>424</v>
      </c>
      <c r="AF113" s="191"/>
      <c r="AG113" s="166"/>
      <c r="AH113" s="166"/>
      <c r="AI113" s="166">
        <v>30000</v>
      </c>
      <c r="AJ113" s="166"/>
      <c r="AK113" s="166"/>
      <c r="AL113" s="166"/>
      <c r="AM113" s="166"/>
      <c r="AN113" s="166"/>
      <c r="AO113" s="166"/>
      <c r="AP113" s="166"/>
      <c r="AQ113" s="166"/>
      <c r="AR113" s="166"/>
      <c r="AS113" s="167">
        <v>30000</v>
      </c>
    </row>
    <row r="114" spans="1:45" ht="51" hidden="1">
      <c r="A114" s="266" t="s">
        <v>812</v>
      </c>
      <c r="B114" s="169">
        <v>2</v>
      </c>
      <c r="C114" s="270" t="s">
        <v>820</v>
      </c>
      <c r="D114" s="273" t="s">
        <v>162</v>
      </c>
      <c r="E114" s="239" t="s">
        <v>814</v>
      </c>
      <c r="F114" s="239" t="s">
        <v>821</v>
      </c>
      <c r="G114" s="239"/>
      <c r="H114" s="239" t="s">
        <v>822</v>
      </c>
      <c r="I114" s="156"/>
      <c r="J114" s="157">
        <v>20000</v>
      </c>
      <c r="K114" s="157"/>
      <c r="L114" s="158">
        <v>25000</v>
      </c>
      <c r="M114" s="159" t="s">
        <v>68</v>
      </c>
      <c r="N114" s="159" t="s">
        <v>68</v>
      </c>
      <c r="O114" s="157">
        <v>20000</v>
      </c>
      <c r="P114" s="157"/>
      <c r="Q114" s="160">
        <v>20000</v>
      </c>
      <c r="R114" s="161">
        <v>20000</v>
      </c>
      <c r="S114" s="161"/>
      <c r="T114" s="161"/>
      <c r="U114" s="161"/>
      <c r="V114" s="161"/>
      <c r="W114" s="161"/>
      <c r="X114" s="161"/>
      <c r="Y114" s="160">
        <v>20000</v>
      </c>
      <c r="Z114" s="162" t="s">
        <v>818</v>
      </c>
      <c r="AA114" s="162" t="s">
        <v>818</v>
      </c>
      <c r="AB114" s="162" t="s">
        <v>823</v>
      </c>
      <c r="AC114" s="163">
        <v>42065</v>
      </c>
      <c r="AD114" s="163">
        <v>42284</v>
      </c>
      <c r="AE114" s="211" t="s">
        <v>424</v>
      </c>
      <c r="AF114" s="191"/>
      <c r="AG114" s="166"/>
      <c r="AH114" s="166"/>
      <c r="AI114" s="166">
        <v>20000</v>
      </c>
      <c r="AJ114" s="166"/>
      <c r="AK114" s="166"/>
      <c r="AL114" s="166"/>
      <c r="AM114" s="166"/>
      <c r="AN114" s="166"/>
      <c r="AO114" s="166"/>
      <c r="AP114" s="166"/>
      <c r="AQ114" s="166"/>
      <c r="AR114" s="166"/>
      <c r="AS114" s="167">
        <v>20000</v>
      </c>
    </row>
    <row r="115" spans="1:45" hidden="1">
      <c r="A115" s="187"/>
      <c r="B115" s="172"/>
      <c r="C115" s="171"/>
      <c r="D115" s="171"/>
      <c r="E115" s="171"/>
      <c r="F115" s="171"/>
      <c r="G115" s="171"/>
      <c r="H115" s="171"/>
      <c r="I115" s="171"/>
      <c r="J115" s="173">
        <f>SUM(J113:J114)</f>
        <v>50000</v>
      </c>
      <c r="K115" s="173">
        <f>SUM(K113:K114)</f>
        <v>0</v>
      </c>
      <c r="L115" s="173"/>
      <c r="M115" s="173"/>
      <c r="N115" s="173"/>
      <c r="O115" s="173">
        <v>20000</v>
      </c>
      <c r="P115" s="173">
        <v>30000</v>
      </c>
      <c r="Q115" s="173">
        <v>50000</v>
      </c>
      <c r="R115" s="280">
        <v>50000</v>
      </c>
      <c r="S115" s="173"/>
      <c r="T115" s="173"/>
      <c r="U115" s="173"/>
      <c r="V115" s="173"/>
      <c r="W115" s="173"/>
      <c r="X115" s="173"/>
      <c r="Y115" s="173">
        <v>50000</v>
      </c>
      <c r="Z115" s="173"/>
      <c r="AA115" s="173"/>
      <c r="AB115" s="173"/>
      <c r="AC115" s="173"/>
      <c r="AD115" s="173"/>
      <c r="AE115" s="173"/>
      <c r="AF115" s="173"/>
      <c r="AG115" s="173"/>
      <c r="AH115" s="173"/>
      <c r="AI115" s="173">
        <v>50000</v>
      </c>
      <c r="AJ115" s="173"/>
      <c r="AK115" s="173"/>
      <c r="AL115" s="173"/>
      <c r="AM115" s="173"/>
      <c r="AN115" s="173"/>
      <c r="AO115" s="173"/>
      <c r="AP115" s="173"/>
      <c r="AQ115" s="173"/>
      <c r="AR115" s="173"/>
      <c r="AS115" s="173">
        <f>SUM(AS113:AS114)</f>
        <v>50000</v>
      </c>
    </row>
    <row r="116" spans="1:45" ht="63.75" hidden="1">
      <c r="A116" s="281" t="s">
        <v>824</v>
      </c>
      <c r="B116" s="282">
        <v>1</v>
      </c>
      <c r="C116" s="221" t="s">
        <v>825</v>
      </c>
      <c r="D116" s="221" t="s">
        <v>162</v>
      </c>
      <c r="E116" s="155" t="s">
        <v>826</v>
      </c>
      <c r="F116" s="155" t="s">
        <v>827</v>
      </c>
      <c r="G116" s="155" t="s">
        <v>828</v>
      </c>
      <c r="H116" s="155" t="s">
        <v>828</v>
      </c>
      <c r="I116" s="283" t="s">
        <v>829</v>
      </c>
      <c r="J116" s="284">
        <v>200000</v>
      </c>
      <c r="K116" s="284"/>
      <c r="L116" s="285"/>
      <c r="M116" s="286" t="s">
        <v>68</v>
      </c>
      <c r="N116" s="286"/>
      <c r="O116" s="284">
        <v>200000</v>
      </c>
      <c r="P116" s="284"/>
      <c r="Q116" s="287">
        <v>200000</v>
      </c>
      <c r="R116" s="288">
        <v>200000</v>
      </c>
      <c r="S116" s="288"/>
      <c r="T116" s="288">
        <v>0</v>
      </c>
      <c r="U116" s="288"/>
      <c r="V116" s="288">
        <v>0</v>
      </c>
      <c r="W116" s="288"/>
      <c r="X116" s="288">
        <v>0</v>
      </c>
      <c r="Y116" s="287">
        <f>SUM(R116:X116)</f>
        <v>200000</v>
      </c>
      <c r="Z116" s="289" t="s">
        <v>830</v>
      </c>
      <c r="AA116" s="289" t="s">
        <v>831</v>
      </c>
      <c r="AB116" s="289"/>
      <c r="AC116" s="290">
        <v>42064</v>
      </c>
      <c r="AD116" s="290">
        <v>42369</v>
      </c>
      <c r="AE116" s="291" t="s">
        <v>424</v>
      </c>
      <c r="AF116" s="292"/>
      <c r="AG116" s="293"/>
      <c r="AH116" s="293"/>
      <c r="AI116" s="293">
        <v>20000</v>
      </c>
      <c r="AJ116" s="293">
        <v>20000</v>
      </c>
      <c r="AK116" s="293">
        <v>20000</v>
      </c>
      <c r="AL116" s="293">
        <v>20000</v>
      </c>
      <c r="AM116" s="293">
        <v>20000</v>
      </c>
      <c r="AN116" s="293">
        <v>20000</v>
      </c>
      <c r="AO116" s="293">
        <v>20000</v>
      </c>
      <c r="AP116" s="293">
        <v>20000</v>
      </c>
      <c r="AQ116" s="293">
        <v>20000</v>
      </c>
      <c r="AR116" s="293">
        <v>20000</v>
      </c>
      <c r="AS116" s="294">
        <f>SUM(AG116:AR116)</f>
        <v>200000</v>
      </c>
    </row>
    <row r="117" spans="1:45" ht="76.5" hidden="1">
      <c r="A117" s="281" t="s">
        <v>824</v>
      </c>
      <c r="B117" s="282">
        <v>2</v>
      </c>
      <c r="C117" s="221" t="s">
        <v>832</v>
      </c>
      <c r="D117" s="221" t="s">
        <v>162</v>
      </c>
      <c r="E117" s="155" t="s">
        <v>833</v>
      </c>
      <c r="F117" s="155" t="s">
        <v>834</v>
      </c>
      <c r="G117" s="155" t="s">
        <v>835</v>
      </c>
      <c r="H117" s="155" t="s">
        <v>835</v>
      </c>
      <c r="I117" s="283" t="s">
        <v>836</v>
      </c>
      <c r="J117" s="284">
        <v>100000</v>
      </c>
      <c r="K117" s="284"/>
      <c r="L117" s="285"/>
      <c r="M117" s="286" t="s">
        <v>68</v>
      </c>
      <c r="N117" s="286"/>
      <c r="O117" s="284"/>
      <c r="P117" s="284">
        <v>100000</v>
      </c>
      <c r="Q117" s="287">
        <v>100000</v>
      </c>
      <c r="R117" s="288">
        <v>100000</v>
      </c>
      <c r="S117" s="288"/>
      <c r="T117" s="288">
        <v>0</v>
      </c>
      <c r="U117" s="288"/>
      <c r="V117" s="288">
        <v>0</v>
      </c>
      <c r="W117" s="288"/>
      <c r="X117" s="288">
        <v>0</v>
      </c>
      <c r="Y117" s="287">
        <f t="shared" ref="Y117:Y129" si="53">SUM(R117:X117)</f>
        <v>100000</v>
      </c>
      <c r="Z117" s="289" t="s">
        <v>830</v>
      </c>
      <c r="AA117" s="289" t="s">
        <v>831</v>
      </c>
      <c r="AB117" s="289"/>
      <c r="AC117" s="290">
        <v>42125</v>
      </c>
      <c r="AD117" s="290">
        <v>42247</v>
      </c>
      <c r="AE117" s="291" t="s">
        <v>368</v>
      </c>
      <c r="AF117" s="292"/>
      <c r="AG117" s="293"/>
      <c r="AH117" s="293"/>
      <c r="AI117" s="293"/>
      <c r="AJ117" s="293"/>
      <c r="AK117" s="293">
        <v>25000</v>
      </c>
      <c r="AL117" s="293">
        <v>25000</v>
      </c>
      <c r="AM117" s="293">
        <v>25000</v>
      </c>
      <c r="AN117" s="293">
        <v>25000</v>
      </c>
      <c r="AO117" s="293"/>
      <c r="AP117" s="293"/>
      <c r="AQ117" s="293"/>
      <c r="AR117" s="293"/>
      <c r="AS117" s="294">
        <f t="shared" ref="AS117:AS129" si="54">SUM(AG117:AR117)</f>
        <v>100000</v>
      </c>
    </row>
    <row r="118" spans="1:45" ht="89.25" hidden="1">
      <c r="A118" s="281" t="s">
        <v>824</v>
      </c>
      <c r="B118" s="282">
        <v>3</v>
      </c>
      <c r="C118" s="221" t="s">
        <v>837</v>
      </c>
      <c r="D118" s="221" t="s">
        <v>162</v>
      </c>
      <c r="E118" s="155" t="s">
        <v>838</v>
      </c>
      <c r="F118" s="155" t="s">
        <v>839</v>
      </c>
      <c r="G118" s="155" t="s">
        <v>840</v>
      </c>
      <c r="H118" s="155" t="s">
        <v>840</v>
      </c>
      <c r="I118" s="283" t="s">
        <v>841</v>
      </c>
      <c r="J118" s="284">
        <v>200000</v>
      </c>
      <c r="K118" s="284"/>
      <c r="L118" s="285"/>
      <c r="M118" s="286" t="s">
        <v>68</v>
      </c>
      <c r="N118" s="286"/>
      <c r="O118" s="284"/>
      <c r="P118" s="284">
        <v>200000</v>
      </c>
      <c r="Q118" s="287">
        <v>200000</v>
      </c>
      <c r="R118" s="288">
        <v>200000</v>
      </c>
      <c r="S118" s="288"/>
      <c r="T118" s="288">
        <v>0</v>
      </c>
      <c r="U118" s="288"/>
      <c r="V118" s="288">
        <v>0</v>
      </c>
      <c r="W118" s="288"/>
      <c r="X118" s="288">
        <v>0</v>
      </c>
      <c r="Y118" s="287">
        <f t="shared" si="53"/>
        <v>200000</v>
      </c>
      <c r="Z118" s="289" t="s">
        <v>830</v>
      </c>
      <c r="AA118" s="289" t="s">
        <v>831</v>
      </c>
      <c r="AB118" s="289"/>
      <c r="AC118" s="290">
        <v>42005</v>
      </c>
      <c r="AD118" s="290">
        <v>42369</v>
      </c>
      <c r="AE118" s="291" t="s">
        <v>368</v>
      </c>
      <c r="AF118" s="292"/>
      <c r="AG118" s="293">
        <v>16666.666666666668</v>
      </c>
      <c r="AH118" s="293">
        <v>16666.666666666668</v>
      </c>
      <c r="AI118" s="293">
        <v>16666.666666666668</v>
      </c>
      <c r="AJ118" s="293">
        <v>16666.666666666668</v>
      </c>
      <c r="AK118" s="293">
        <v>16666.666666666668</v>
      </c>
      <c r="AL118" s="293">
        <v>16666.666666666668</v>
      </c>
      <c r="AM118" s="293">
        <v>16666.666666666668</v>
      </c>
      <c r="AN118" s="293">
        <v>16666.666666666668</v>
      </c>
      <c r="AO118" s="293">
        <v>16666.666666666668</v>
      </c>
      <c r="AP118" s="293">
        <v>16666.666666666668</v>
      </c>
      <c r="AQ118" s="293">
        <v>16666.666666666668</v>
      </c>
      <c r="AR118" s="293">
        <v>16666.666666666668</v>
      </c>
      <c r="AS118" s="294">
        <f t="shared" si="54"/>
        <v>199999.99999999997</v>
      </c>
    </row>
    <row r="119" spans="1:45" ht="76.5" hidden="1">
      <c r="A119" s="281" t="s">
        <v>824</v>
      </c>
      <c r="B119" s="282">
        <v>4</v>
      </c>
      <c r="C119" s="221" t="s">
        <v>842</v>
      </c>
      <c r="D119" s="221" t="s">
        <v>162</v>
      </c>
      <c r="E119" s="155" t="s">
        <v>843</v>
      </c>
      <c r="F119" s="155" t="s">
        <v>844</v>
      </c>
      <c r="G119" s="155" t="s">
        <v>845</v>
      </c>
      <c r="H119" s="155" t="s">
        <v>845</v>
      </c>
      <c r="I119" s="283" t="s">
        <v>846</v>
      </c>
      <c r="J119" s="284">
        <v>70000</v>
      </c>
      <c r="K119" s="284"/>
      <c r="L119" s="285"/>
      <c r="M119" s="286" t="s">
        <v>68</v>
      </c>
      <c r="N119" s="286"/>
      <c r="O119" s="284"/>
      <c r="P119" s="284">
        <v>70000</v>
      </c>
      <c r="Q119" s="287">
        <v>70000</v>
      </c>
      <c r="R119" s="288">
        <v>70000</v>
      </c>
      <c r="S119" s="288"/>
      <c r="T119" s="288">
        <v>0</v>
      </c>
      <c r="U119" s="288"/>
      <c r="V119" s="288">
        <v>0</v>
      </c>
      <c r="W119" s="288"/>
      <c r="X119" s="288">
        <v>0</v>
      </c>
      <c r="Y119" s="287">
        <f t="shared" si="53"/>
        <v>70000</v>
      </c>
      <c r="Z119" s="289" t="s">
        <v>830</v>
      </c>
      <c r="AA119" s="289" t="s">
        <v>831</v>
      </c>
      <c r="AB119" s="289"/>
      <c r="AC119" s="290">
        <v>42005</v>
      </c>
      <c r="AD119" s="290">
        <v>42369</v>
      </c>
      <c r="AE119" s="291" t="s">
        <v>368</v>
      </c>
      <c r="AF119" s="292"/>
      <c r="AG119" s="293">
        <v>5833.333333333333</v>
      </c>
      <c r="AH119" s="293">
        <v>5833.333333333333</v>
      </c>
      <c r="AI119" s="293">
        <v>5833.333333333333</v>
      </c>
      <c r="AJ119" s="293">
        <v>5833.333333333333</v>
      </c>
      <c r="AK119" s="293">
        <v>5833.333333333333</v>
      </c>
      <c r="AL119" s="293">
        <v>5833.333333333333</v>
      </c>
      <c r="AM119" s="293">
        <v>5833.333333333333</v>
      </c>
      <c r="AN119" s="293">
        <v>5833.333333333333</v>
      </c>
      <c r="AO119" s="293">
        <v>5833.333333333333</v>
      </c>
      <c r="AP119" s="293">
        <v>5833.333333333333</v>
      </c>
      <c r="AQ119" s="293">
        <v>5833.333333333333</v>
      </c>
      <c r="AR119" s="293">
        <v>5833.333333333333</v>
      </c>
      <c r="AS119" s="294">
        <f t="shared" si="54"/>
        <v>70000.000000000015</v>
      </c>
    </row>
    <row r="120" spans="1:45" ht="76.5" hidden="1">
      <c r="A120" s="281" t="s">
        <v>824</v>
      </c>
      <c r="B120" s="282">
        <v>5</v>
      </c>
      <c r="C120" s="221" t="s">
        <v>847</v>
      </c>
      <c r="D120" s="221" t="s">
        <v>162</v>
      </c>
      <c r="E120" s="155" t="s">
        <v>843</v>
      </c>
      <c r="F120" s="155" t="s">
        <v>848</v>
      </c>
      <c r="G120" s="155" t="s">
        <v>849</v>
      </c>
      <c r="H120" s="155" t="s">
        <v>849</v>
      </c>
      <c r="I120" s="283" t="s">
        <v>850</v>
      </c>
      <c r="J120" s="284">
        <v>3112685.35</v>
      </c>
      <c r="K120" s="284"/>
      <c r="L120" s="285"/>
      <c r="M120" s="286" t="s">
        <v>68</v>
      </c>
      <c r="N120" s="286"/>
      <c r="O120" s="284"/>
      <c r="P120" s="284">
        <v>3112685.35</v>
      </c>
      <c r="Q120" s="287">
        <f>+P120</f>
        <v>3112685.35</v>
      </c>
      <c r="R120" s="288">
        <f>167891.87+42937.11+0.66</f>
        <v>210829.63999999998</v>
      </c>
      <c r="S120" s="288"/>
      <c r="T120" s="288">
        <v>0</v>
      </c>
      <c r="U120" s="288"/>
      <c r="V120" s="288">
        <v>2901855.71</v>
      </c>
      <c r="W120" s="288"/>
      <c r="X120" s="288">
        <v>0</v>
      </c>
      <c r="Y120" s="287">
        <f t="shared" si="53"/>
        <v>3112685.35</v>
      </c>
      <c r="Z120" s="289" t="s">
        <v>830</v>
      </c>
      <c r="AA120" s="289" t="s">
        <v>831</v>
      </c>
      <c r="AB120" s="289"/>
      <c r="AC120" s="290">
        <v>42005</v>
      </c>
      <c r="AD120" s="290">
        <v>42369</v>
      </c>
      <c r="AE120" s="291" t="s">
        <v>851</v>
      </c>
      <c r="AF120" s="292"/>
      <c r="AG120" s="293">
        <v>17569.14</v>
      </c>
      <c r="AH120" s="293">
        <v>17569.14</v>
      </c>
      <c r="AI120" s="293">
        <v>17569.14</v>
      </c>
      <c r="AJ120" s="293">
        <v>17569.14</v>
      </c>
      <c r="AK120" s="293">
        <v>17569.14</v>
      </c>
      <c r="AL120" s="293">
        <v>17569.14</v>
      </c>
      <c r="AM120" s="293">
        <v>17569.14</v>
      </c>
      <c r="AN120" s="293">
        <v>17569.14</v>
      </c>
      <c r="AO120" s="293">
        <v>17569.14</v>
      </c>
      <c r="AP120" s="293">
        <v>17569.14</v>
      </c>
      <c r="AQ120" s="293">
        <v>17569.14</v>
      </c>
      <c r="AR120" s="293">
        <v>17569.099999999999</v>
      </c>
      <c r="AS120" s="294">
        <f>SUM(AG120:AR120)</f>
        <v>210829.64000000004</v>
      </c>
    </row>
    <row r="121" spans="1:45" ht="63.75" hidden="1">
      <c r="A121" s="281" t="s">
        <v>824</v>
      </c>
      <c r="B121" s="282">
        <v>6</v>
      </c>
      <c r="C121" s="221" t="s">
        <v>852</v>
      </c>
      <c r="D121" s="221" t="s">
        <v>162</v>
      </c>
      <c r="E121" s="155" t="s">
        <v>853</v>
      </c>
      <c r="F121" s="155" t="s">
        <v>854</v>
      </c>
      <c r="G121" s="155" t="s">
        <v>855</v>
      </c>
      <c r="H121" s="155" t="s">
        <v>855</v>
      </c>
      <c r="I121" s="283" t="s">
        <v>856</v>
      </c>
      <c r="J121" s="284">
        <v>100000</v>
      </c>
      <c r="K121" s="284"/>
      <c r="L121" s="285"/>
      <c r="M121" s="286" t="s">
        <v>68</v>
      </c>
      <c r="N121" s="286"/>
      <c r="O121" s="284"/>
      <c r="P121" s="284">
        <v>100000</v>
      </c>
      <c r="Q121" s="287">
        <v>100000</v>
      </c>
      <c r="R121" s="288">
        <v>100000</v>
      </c>
      <c r="S121" s="288"/>
      <c r="T121" s="288">
        <v>0</v>
      </c>
      <c r="U121" s="288"/>
      <c r="V121" s="288">
        <v>0</v>
      </c>
      <c r="W121" s="288"/>
      <c r="X121" s="288">
        <v>0</v>
      </c>
      <c r="Y121" s="287">
        <f t="shared" si="53"/>
        <v>100000</v>
      </c>
      <c r="Z121" s="289" t="s">
        <v>830</v>
      </c>
      <c r="AA121" s="289" t="s">
        <v>831</v>
      </c>
      <c r="AB121" s="289"/>
      <c r="AC121" s="290">
        <v>42125</v>
      </c>
      <c r="AD121" s="290" t="s">
        <v>225</v>
      </c>
      <c r="AE121" s="291" t="s">
        <v>424</v>
      </c>
      <c r="AF121" s="292"/>
      <c r="AG121" s="293"/>
      <c r="AH121" s="293"/>
      <c r="AI121" s="293"/>
      <c r="AJ121" s="293"/>
      <c r="AK121" s="293">
        <v>50000</v>
      </c>
      <c r="AL121" s="293">
        <v>50000</v>
      </c>
      <c r="AM121" s="293"/>
      <c r="AN121" s="293"/>
      <c r="AO121" s="293"/>
      <c r="AP121" s="293"/>
      <c r="AQ121" s="293"/>
      <c r="AR121" s="293"/>
      <c r="AS121" s="294">
        <f t="shared" si="54"/>
        <v>100000</v>
      </c>
    </row>
    <row r="122" spans="1:45" ht="76.5" hidden="1">
      <c r="A122" s="281" t="s">
        <v>824</v>
      </c>
      <c r="B122" s="282">
        <v>7</v>
      </c>
      <c r="C122" s="221" t="s">
        <v>857</v>
      </c>
      <c r="D122" s="221" t="s">
        <v>162</v>
      </c>
      <c r="E122" s="155" t="s">
        <v>858</v>
      </c>
      <c r="F122" s="155" t="s">
        <v>859</v>
      </c>
      <c r="G122" s="155" t="s">
        <v>860</v>
      </c>
      <c r="H122" s="155" t="s">
        <v>860</v>
      </c>
      <c r="I122" s="283" t="s">
        <v>861</v>
      </c>
      <c r="J122" s="284">
        <v>4941904</v>
      </c>
      <c r="K122" s="284"/>
      <c r="L122" s="285"/>
      <c r="M122" s="286" t="s">
        <v>68</v>
      </c>
      <c r="N122" s="286"/>
      <c r="O122" s="284"/>
      <c r="P122" s="284">
        <v>4941904</v>
      </c>
      <c r="Q122" s="287">
        <v>4941904</v>
      </c>
      <c r="R122" s="288">
        <v>0</v>
      </c>
      <c r="S122" s="288"/>
      <c r="T122" s="288">
        <v>0</v>
      </c>
      <c r="U122" s="288"/>
      <c r="V122" s="288">
        <v>4941904</v>
      </c>
      <c r="W122" s="288"/>
      <c r="X122" s="288">
        <v>0</v>
      </c>
      <c r="Y122" s="287">
        <f t="shared" si="53"/>
        <v>4941904</v>
      </c>
      <c r="Z122" s="289" t="s">
        <v>830</v>
      </c>
      <c r="AA122" s="289" t="s">
        <v>831</v>
      </c>
      <c r="AB122" s="289"/>
      <c r="AC122" s="290">
        <v>42005</v>
      </c>
      <c r="AD122" s="290">
        <v>42369</v>
      </c>
      <c r="AE122" s="291" t="s">
        <v>851</v>
      </c>
      <c r="AF122" s="292"/>
      <c r="AG122" s="293"/>
      <c r="AH122" s="293"/>
      <c r="AI122" s="293"/>
      <c r="AJ122" s="293"/>
      <c r="AK122" s="293"/>
      <c r="AL122" s="293"/>
      <c r="AM122" s="293"/>
      <c r="AN122" s="293"/>
      <c r="AO122" s="293"/>
      <c r="AP122" s="293"/>
      <c r="AQ122" s="293"/>
      <c r="AR122" s="293"/>
      <c r="AS122" s="294">
        <f t="shared" si="54"/>
        <v>0</v>
      </c>
    </row>
    <row r="123" spans="1:45" ht="89.25" hidden="1">
      <c r="A123" s="281" t="s">
        <v>824</v>
      </c>
      <c r="B123" s="282">
        <v>8</v>
      </c>
      <c r="C123" s="221" t="s">
        <v>862</v>
      </c>
      <c r="D123" s="221" t="s">
        <v>162</v>
      </c>
      <c r="E123" s="155" t="s">
        <v>863</v>
      </c>
      <c r="F123" s="155" t="s">
        <v>844</v>
      </c>
      <c r="G123" s="155" t="s">
        <v>864</v>
      </c>
      <c r="H123" s="155" t="s">
        <v>864</v>
      </c>
      <c r="I123" s="283" t="s">
        <v>865</v>
      </c>
      <c r="J123" s="284">
        <v>30000</v>
      </c>
      <c r="K123" s="284"/>
      <c r="L123" s="285"/>
      <c r="M123" s="286" t="s">
        <v>68</v>
      </c>
      <c r="N123" s="286"/>
      <c r="O123" s="284"/>
      <c r="P123" s="284">
        <v>30000</v>
      </c>
      <c r="Q123" s="287">
        <v>30000</v>
      </c>
      <c r="R123" s="288">
        <v>30000</v>
      </c>
      <c r="S123" s="288"/>
      <c r="T123" s="288">
        <v>0</v>
      </c>
      <c r="U123" s="288"/>
      <c r="V123" s="288">
        <v>0</v>
      </c>
      <c r="W123" s="288"/>
      <c r="X123" s="288"/>
      <c r="Y123" s="287">
        <f t="shared" si="53"/>
        <v>30000</v>
      </c>
      <c r="Z123" s="289" t="s">
        <v>830</v>
      </c>
      <c r="AA123" s="289" t="s">
        <v>831</v>
      </c>
      <c r="AB123" s="289"/>
      <c r="AC123" s="290">
        <v>42005</v>
      </c>
      <c r="AD123" s="290">
        <v>42369</v>
      </c>
      <c r="AE123" s="291" t="s">
        <v>368</v>
      </c>
      <c r="AF123" s="292"/>
      <c r="AG123" s="293">
        <v>2500</v>
      </c>
      <c r="AH123" s="293">
        <v>2500</v>
      </c>
      <c r="AI123" s="293">
        <v>2500</v>
      </c>
      <c r="AJ123" s="293">
        <v>2500</v>
      </c>
      <c r="AK123" s="293">
        <v>2500</v>
      </c>
      <c r="AL123" s="293">
        <v>2500</v>
      </c>
      <c r="AM123" s="293">
        <v>2500</v>
      </c>
      <c r="AN123" s="293">
        <v>2500</v>
      </c>
      <c r="AO123" s="293">
        <v>2500</v>
      </c>
      <c r="AP123" s="293">
        <v>2500</v>
      </c>
      <c r="AQ123" s="293">
        <v>2500</v>
      </c>
      <c r="AR123" s="293">
        <v>2500</v>
      </c>
      <c r="AS123" s="294">
        <f t="shared" si="54"/>
        <v>30000</v>
      </c>
    </row>
    <row r="124" spans="1:45" ht="114.75" hidden="1">
      <c r="A124" s="281" t="s">
        <v>824</v>
      </c>
      <c r="B124" s="282">
        <v>9</v>
      </c>
      <c r="C124" s="221" t="s">
        <v>866</v>
      </c>
      <c r="D124" s="221" t="s">
        <v>162</v>
      </c>
      <c r="E124" s="155" t="s">
        <v>867</v>
      </c>
      <c r="F124" s="155" t="s">
        <v>868</v>
      </c>
      <c r="G124" s="155" t="s">
        <v>869</v>
      </c>
      <c r="H124" s="155" t="s">
        <v>869</v>
      </c>
      <c r="I124" s="283" t="s">
        <v>870</v>
      </c>
      <c r="J124" s="284">
        <v>440754.85</v>
      </c>
      <c r="K124" s="284"/>
      <c r="L124" s="285"/>
      <c r="M124" s="286" t="s">
        <v>68</v>
      </c>
      <c r="N124" s="286"/>
      <c r="O124" s="284"/>
      <c r="P124" s="284">
        <v>440754.85</v>
      </c>
      <c r="Q124" s="287">
        <v>440754.85</v>
      </c>
      <c r="R124" s="288">
        <v>392390.25</v>
      </c>
      <c r="S124" s="288"/>
      <c r="T124" s="288">
        <v>0</v>
      </c>
      <c r="U124" s="288"/>
      <c r="V124" s="288">
        <v>0</v>
      </c>
      <c r="W124" s="288"/>
      <c r="X124" s="288">
        <v>48364.6</v>
      </c>
      <c r="Y124" s="287">
        <f t="shared" si="53"/>
        <v>440754.85</v>
      </c>
      <c r="Z124" s="289" t="s">
        <v>830</v>
      </c>
      <c r="AA124" s="289" t="s">
        <v>831</v>
      </c>
      <c r="AB124" s="289"/>
      <c r="AC124" s="290">
        <v>42125</v>
      </c>
      <c r="AD124" s="290">
        <v>42308</v>
      </c>
      <c r="AE124" s="291" t="s">
        <v>424</v>
      </c>
      <c r="AF124" s="292"/>
      <c r="AG124" s="293"/>
      <c r="AH124" s="293"/>
      <c r="AI124" s="293"/>
      <c r="AJ124" s="293"/>
      <c r="AK124" s="293">
        <v>78478.05</v>
      </c>
      <c r="AL124" s="293">
        <v>78478.05</v>
      </c>
      <c r="AM124" s="293">
        <v>78478.05</v>
      </c>
      <c r="AN124" s="293">
        <v>78478.05</v>
      </c>
      <c r="AO124" s="293">
        <v>78478.05</v>
      </c>
      <c r="AP124" s="293"/>
      <c r="AQ124" s="293"/>
      <c r="AR124" s="293"/>
      <c r="AS124" s="294">
        <f t="shared" si="54"/>
        <v>392390.25</v>
      </c>
    </row>
    <row r="125" spans="1:45" ht="89.25" hidden="1">
      <c r="A125" s="281" t="s">
        <v>824</v>
      </c>
      <c r="B125" s="282">
        <v>10</v>
      </c>
      <c r="C125" s="221" t="s">
        <v>871</v>
      </c>
      <c r="D125" s="221" t="s">
        <v>162</v>
      </c>
      <c r="E125" s="155" t="s">
        <v>872</v>
      </c>
      <c r="F125" s="155" t="s">
        <v>873</v>
      </c>
      <c r="G125" s="155" t="s">
        <v>874</v>
      </c>
      <c r="H125" s="155" t="s">
        <v>875</v>
      </c>
      <c r="I125" s="283" t="s">
        <v>876</v>
      </c>
      <c r="J125" s="284">
        <v>419563.68</v>
      </c>
      <c r="K125" s="284"/>
      <c r="L125" s="285"/>
      <c r="M125" s="286" t="s">
        <v>68</v>
      </c>
      <c r="N125" s="286"/>
      <c r="O125" s="284"/>
      <c r="P125" s="284">
        <v>419563.68</v>
      </c>
      <c r="Q125" s="287">
        <v>419563.68</v>
      </c>
      <c r="R125" s="288">
        <v>419563.68</v>
      </c>
      <c r="S125" s="288"/>
      <c r="T125" s="288">
        <v>0</v>
      </c>
      <c r="U125" s="288"/>
      <c r="V125" s="288">
        <v>0</v>
      </c>
      <c r="W125" s="288"/>
      <c r="X125" s="288">
        <v>0</v>
      </c>
      <c r="Y125" s="287">
        <f t="shared" si="53"/>
        <v>419563.68</v>
      </c>
      <c r="Z125" s="289" t="s">
        <v>830</v>
      </c>
      <c r="AA125" s="289" t="s">
        <v>877</v>
      </c>
      <c r="AB125" s="289"/>
      <c r="AC125" s="290">
        <v>42125</v>
      </c>
      <c r="AD125" s="290">
        <v>42308</v>
      </c>
      <c r="AE125" s="291" t="s">
        <v>424</v>
      </c>
      <c r="AF125" s="292"/>
      <c r="AG125" s="293"/>
      <c r="AH125" s="293"/>
      <c r="AI125" s="293"/>
      <c r="AJ125" s="293"/>
      <c r="AK125" s="293">
        <v>83912.736000000004</v>
      </c>
      <c r="AL125" s="293">
        <v>83912.736000000004</v>
      </c>
      <c r="AM125" s="293">
        <v>83912.736000000004</v>
      </c>
      <c r="AN125" s="293">
        <v>83912.736000000004</v>
      </c>
      <c r="AO125" s="293">
        <v>83912.736000000004</v>
      </c>
      <c r="AP125" s="293"/>
      <c r="AQ125" s="293"/>
      <c r="AR125" s="293"/>
      <c r="AS125" s="294">
        <f t="shared" si="54"/>
        <v>419563.68000000005</v>
      </c>
    </row>
    <row r="126" spans="1:45" ht="89.25" hidden="1">
      <c r="A126" s="281" t="s">
        <v>824</v>
      </c>
      <c r="B126" s="282">
        <v>11</v>
      </c>
      <c r="C126" s="221" t="s">
        <v>878</v>
      </c>
      <c r="D126" s="221" t="s">
        <v>162</v>
      </c>
      <c r="E126" s="155" t="s">
        <v>879</v>
      </c>
      <c r="F126" s="155" t="s">
        <v>880</v>
      </c>
      <c r="G126" s="155" t="s">
        <v>881</v>
      </c>
      <c r="H126" s="155" t="s">
        <v>881</v>
      </c>
      <c r="I126" s="283" t="s">
        <v>882</v>
      </c>
      <c r="J126" s="284">
        <v>61799.09</v>
      </c>
      <c r="K126" s="284"/>
      <c r="L126" s="285"/>
      <c r="M126" s="286" t="s">
        <v>68</v>
      </c>
      <c r="N126" s="286"/>
      <c r="O126" s="284"/>
      <c r="P126" s="284">
        <v>61799.09</v>
      </c>
      <c r="Q126" s="287">
        <v>61799.09</v>
      </c>
      <c r="R126" s="288">
        <v>61799.09</v>
      </c>
      <c r="S126" s="288"/>
      <c r="T126" s="288">
        <v>0</v>
      </c>
      <c r="U126" s="288"/>
      <c r="V126" s="288">
        <v>0</v>
      </c>
      <c r="W126" s="288"/>
      <c r="X126" s="288">
        <v>0</v>
      </c>
      <c r="Y126" s="287">
        <f t="shared" si="53"/>
        <v>61799.09</v>
      </c>
      <c r="Z126" s="289" t="s">
        <v>830</v>
      </c>
      <c r="AA126" s="289" t="s">
        <v>877</v>
      </c>
      <c r="AB126" s="289"/>
      <c r="AC126" s="290">
        <v>42125</v>
      </c>
      <c r="AD126" s="290">
        <v>42308</v>
      </c>
      <c r="AE126" s="291" t="s">
        <v>424</v>
      </c>
      <c r="AF126" s="292"/>
      <c r="AG126" s="293"/>
      <c r="AH126" s="293"/>
      <c r="AI126" s="293"/>
      <c r="AJ126" s="293"/>
      <c r="AK126" s="293">
        <v>12359.817999999999</v>
      </c>
      <c r="AL126" s="293">
        <v>12359.817999999999</v>
      </c>
      <c r="AM126" s="293">
        <v>12359.817999999999</v>
      </c>
      <c r="AN126" s="293">
        <v>12359.817999999999</v>
      </c>
      <c r="AO126" s="293">
        <v>12359.817999999999</v>
      </c>
      <c r="AP126" s="293"/>
      <c r="AQ126" s="293"/>
      <c r="AR126" s="293"/>
      <c r="AS126" s="294">
        <f t="shared" si="54"/>
        <v>61799.09</v>
      </c>
    </row>
    <row r="127" spans="1:45" ht="51" hidden="1">
      <c r="A127" s="295" t="s">
        <v>824</v>
      </c>
      <c r="B127" s="282">
        <v>12</v>
      </c>
      <c r="C127" s="221" t="s">
        <v>883</v>
      </c>
      <c r="D127" s="221" t="s">
        <v>884</v>
      </c>
      <c r="E127" s="155" t="s">
        <v>885</v>
      </c>
      <c r="F127" s="155" t="s">
        <v>886</v>
      </c>
      <c r="G127" s="155" t="s">
        <v>887</v>
      </c>
      <c r="H127" s="155" t="s">
        <v>887</v>
      </c>
      <c r="I127" s="283" t="s">
        <v>888</v>
      </c>
      <c r="J127" s="284"/>
      <c r="K127" s="284">
        <v>1000295.4</v>
      </c>
      <c r="L127" s="285"/>
      <c r="M127" s="286" t="s">
        <v>68</v>
      </c>
      <c r="N127" s="286"/>
      <c r="O127" s="284">
        <v>10000</v>
      </c>
      <c r="P127" s="284">
        <f>960295.4+30000</f>
        <v>990295.4</v>
      </c>
      <c r="Q127" s="287">
        <f>SUM(O127:P127)</f>
        <v>1000295.4</v>
      </c>
      <c r="R127" s="288">
        <v>970295.4</v>
      </c>
      <c r="S127" s="288"/>
      <c r="T127" s="288">
        <v>30000</v>
      </c>
      <c r="U127" s="288"/>
      <c r="V127" s="288">
        <v>0</v>
      </c>
      <c r="W127" s="288"/>
      <c r="X127" s="288">
        <v>0</v>
      </c>
      <c r="Y127" s="287">
        <f t="shared" si="53"/>
        <v>1000295.4</v>
      </c>
      <c r="Z127" s="289" t="s">
        <v>830</v>
      </c>
      <c r="AA127" s="289" t="s">
        <v>831</v>
      </c>
      <c r="AB127" s="289"/>
      <c r="AC127" s="290">
        <v>42125</v>
      </c>
      <c r="AD127" s="290">
        <v>42308</v>
      </c>
      <c r="AE127" s="291" t="s">
        <v>424</v>
      </c>
      <c r="AF127" s="292"/>
      <c r="AG127" s="293"/>
      <c r="AH127" s="293"/>
      <c r="AI127" s="293"/>
      <c r="AJ127" s="293"/>
      <c r="AK127" s="293">
        <v>194059.08000000002</v>
      </c>
      <c r="AL127" s="293">
        <v>194059.08000000002</v>
      </c>
      <c r="AM127" s="293">
        <v>194059.08000000002</v>
      </c>
      <c r="AN127" s="293">
        <v>194059.08000000002</v>
      </c>
      <c r="AO127" s="293">
        <v>194059.08000000002</v>
      </c>
      <c r="AP127" s="293"/>
      <c r="AQ127" s="293"/>
      <c r="AR127" s="293"/>
      <c r="AS127" s="294">
        <f t="shared" si="54"/>
        <v>970295.40000000014</v>
      </c>
    </row>
    <row r="128" spans="1:45" ht="63.75" hidden="1">
      <c r="A128" s="295" t="s">
        <v>824</v>
      </c>
      <c r="B128" s="282">
        <v>13</v>
      </c>
      <c r="C128" s="221" t="s">
        <v>889</v>
      </c>
      <c r="D128" s="221" t="s">
        <v>884</v>
      </c>
      <c r="E128" s="155" t="s">
        <v>890</v>
      </c>
      <c r="F128" s="155" t="s">
        <v>891</v>
      </c>
      <c r="G128" s="155" t="s">
        <v>887</v>
      </c>
      <c r="H128" s="155" t="s">
        <v>887</v>
      </c>
      <c r="I128" s="283" t="s">
        <v>892</v>
      </c>
      <c r="J128" s="284"/>
      <c r="K128" s="284">
        <v>685000</v>
      </c>
      <c r="L128" s="285"/>
      <c r="M128" s="286" t="s">
        <v>68</v>
      </c>
      <c r="N128" s="286"/>
      <c r="O128" s="284"/>
      <c r="P128" s="284">
        <v>691000</v>
      </c>
      <c r="Q128" s="287">
        <v>691000</v>
      </c>
      <c r="R128" s="288">
        <f>342500+4200</f>
        <v>346700</v>
      </c>
      <c r="S128" s="288"/>
      <c r="T128" s="288">
        <f>342500+1800</f>
        <v>344300</v>
      </c>
      <c r="U128" s="288"/>
      <c r="V128" s="288">
        <v>0</v>
      </c>
      <c r="W128" s="288"/>
      <c r="X128" s="288"/>
      <c r="Y128" s="287">
        <f t="shared" si="53"/>
        <v>691000</v>
      </c>
      <c r="Z128" s="289" t="s">
        <v>830</v>
      </c>
      <c r="AA128" s="289" t="s">
        <v>877</v>
      </c>
      <c r="AB128" s="289"/>
      <c r="AC128" s="290">
        <v>42125</v>
      </c>
      <c r="AD128" s="290">
        <v>42308</v>
      </c>
      <c r="AE128" s="291" t="s">
        <v>424</v>
      </c>
      <c r="AF128" s="292"/>
      <c r="AG128" s="293"/>
      <c r="AH128" s="293"/>
      <c r="AI128" s="293"/>
      <c r="AJ128" s="293"/>
      <c r="AK128" s="293">
        <v>69340</v>
      </c>
      <c r="AL128" s="293">
        <v>69340</v>
      </c>
      <c r="AM128" s="293">
        <v>69340</v>
      </c>
      <c r="AN128" s="293">
        <v>69340</v>
      </c>
      <c r="AO128" s="293">
        <v>69340</v>
      </c>
      <c r="AP128" s="293"/>
      <c r="AQ128" s="293"/>
      <c r="AR128" s="293"/>
      <c r="AS128" s="294">
        <f t="shared" si="54"/>
        <v>346700</v>
      </c>
    </row>
    <row r="129" spans="1:45" ht="89.25" hidden="1">
      <c r="A129" s="295" t="s">
        <v>824</v>
      </c>
      <c r="B129" s="282">
        <v>14</v>
      </c>
      <c r="C129" s="221" t="s">
        <v>893</v>
      </c>
      <c r="D129" s="221" t="s">
        <v>884</v>
      </c>
      <c r="E129" s="155" t="s">
        <v>894</v>
      </c>
      <c r="F129" s="155" t="s">
        <v>868</v>
      </c>
      <c r="G129" s="155" t="s">
        <v>887</v>
      </c>
      <c r="H129" s="155" t="s">
        <v>887</v>
      </c>
      <c r="I129" s="283" t="s">
        <v>870</v>
      </c>
      <c r="J129" s="284"/>
      <c r="K129" s="284">
        <v>36013.879999999997</v>
      </c>
      <c r="L129" s="285"/>
      <c r="M129" s="286" t="s">
        <v>68</v>
      </c>
      <c r="N129" s="286"/>
      <c r="O129" s="284"/>
      <c r="P129" s="284">
        <v>36013.879999999997</v>
      </c>
      <c r="Q129" s="287">
        <v>36013.879999999997</v>
      </c>
      <c r="R129" s="288">
        <v>18006.939999999999</v>
      </c>
      <c r="S129" s="288"/>
      <c r="T129" s="288">
        <v>0</v>
      </c>
      <c r="U129" s="288"/>
      <c r="V129" s="288">
        <v>0</v>
      </c>
      <c r="W129" s="288"/>
      <c r="X129" s="288">
        <v>18006.939999999999</v>
      </c>
      <c r="Y129" s="287">
        <f t="shared" si="53"/>
        <v>36013.879999999997</v>
      </c>
      <c r="Z129" s="289" t="s">
        <v>830</v>
      </c>
      <c r="AA129" s="289" t="s">
        <v>877</v>
      </c>
      <c r="AB129" s="289"/>
      <c r="AC129" s="290">
        <v>42125</v>
      </c>
      <c r="AD129" s="290">
        <v>42308</v>
      </c>
      <c r="AE129" s="291" t="s">
        <v>424</v>
      </c>
      <c r="AF129" s="292"/>
      <c r="AG129" s="293"/>
      <c r="AH129" s="293"/>
      <c r="AI129" s="293"/>
      <c r="AJ129" s="293"/>
      <c r="AK129" s="293">
        <v>3601.3879999999999</v>
      </c>
      <c r="AL129" s="293">
        <v>3601.3879999999999</v>
      </c>
      <c r="AM129" s="293">
        <v>3601.3879999999999</v>
      </c>
      <c r="AN129" s="293">
        <v>3601.3879999999999</v>
      </c>
      <c r="AO129" s="293">
        <v>3601.3879999999999</v>
      </c>
      <c r="AP129" s="293"/>
      <c r="AQ129" s="293"/>
      <c r="AR129" s="293"/>
      <c r="AS129" s="294">
        <f t="shared" si="54"/>
        <v>18006.939999999999</v>
      </c>
    </row>
    <row r="130" spans="1:45" hidden="1">
      <c r="A130" s="296"/>
      <c r="B130" s="297"/>
      <c r="C130" s="297"/>
      <c r="D130" s="297"/>
      <c r="E130" s="297"/>
      <c r="F130" s="297"/>
      <c r="G130" s="297"/>
      <c r="H130" s="297"/>
      <c r="I130" s="297"/>
      <c r="J130" s="298">
        <f>SUM(J116:J129)</f>
        <v>9676706.9699999988</v>
      </c>
      <c r="K130" s="298">
        <f t="shared" ref="K130:AR130" si="55">SUM(K116:K129)</f>
        <v>1721309.2799999998</v>
      </c>
      <c r="L130" s="298">
        <f t="shared" si="55"/>
        <v>0</v>
      </c>
      <c r="M130" s="298">
        <f t="shared" si="55"/>
        <v>0</v>
      </c>
      <c r="N130" s="298">
        <f t="shared" si="55"/>
        <v>0</v>
      </c>
      <c r="O130" s="298">
        <f>SUM(O116:O129)</f>
        <v>210000</v>
      </c>
      <c r="P130" s="298">
        <f t="shared" ref="P130:Y130" si="56">SUM(P116:P129)</f>
        <v>11194016.25</v>
      </c>
      <c r="Q130" s="298">
        <f t="shared" si="56"/>
        <v>11404016.25</v>
      </c>
      <c r="R130" s="298">
        <f t="shared" si="56"/>
        <v>3119585</v>
      </c>
      <c r="S130" s="298">
        <f t="shared" si="56"/>
        <v>0</v>
      </c>
      <c r="T130" s="298">
        <f t="shared" si="56"/>
        <v>374300</v>
      </c>
      <c r="U130" s="298">
        <f t="shared" si="56"/>
        <v>0</v>
      </c>
      <c r="V130" s="298">
        <f t="shared" si="56"/>
        <v>7843759.71</v>
      </c>
      <c r="W130" s="298">
        <f t="shared" si="56"/>
        <v>0</v>
      </c>
      <c r="X130" s="298">
        <f t="shared" si="56"/>
        <v>66371.539999999994</v>
      </c>
      <c r="Y130" s="298">
        <f t="shared" si="56"/>
        <v>11404016.25</v>
      </c>
      <c r="Z130" s="298">
        <f t="shared" si="55"/>
        <v>0</v>
      </c>
      <c r="AA130" s="298">
        <f t="shared" si="55"/>
        <v>0</v>
      </c>
      <c r="AB130" s="298">
        <f t="shared" si="55"/>
        <v>0</v>
      </c>
      <c r="AC130" s="298"/>
      <c r="AD130" s="298"/>
      <c r="AE130" s="298">
        <f t="shared" si="55"/>
        <v>0</v>
      </c>
      <c r="AF130" s="298">
        <f t="shared" si="55"/>
        <v>0</v>
      </c>
      <c r="AG130" s="298">
        <f t="shared" si="55"/>
        <v>42569.14</v>
      </c>
      <c r="AH130" s="298">
        <f t="shared" si="55"/>
        <v>42569.14</v>
      </c>
      <c r="AI130" s="298">
        <f t="shared" si="55"/>
        <v>62569.140000000007</v>
      </c>
      <c r="AJ130" s="298">
        <f t="shared" si="55"/>
        <v>62569.140000000007</v>
      </c>
      <c r="AK130" s="298">
        <f t="shared" si="55"/>
        <v>579320.21200000006</v>
      </c>
      <c r="AL130" s="298">
        <f t="shared" si="55"/>
        <v>579320.21200000006</v>
      </c>
      <c r="AM130" s="298">
        <f t="shared" si="55"/>
        <v>529320.21200000006</v>
      </c>
      <c r="AN130" s="298">
        <f t="shared" si="55"/>
        <v>529320.21200000006</v>
      </c>
      <c r="AO130" s="298">
        <f t="shared" si="55"/>
        <v>504320.212</v>
      </c>
      <c r="AP130" s="298">
        <f t="shared" si="55"/>
        <v>62569.140000000007</v>
      </c>
      <c r="AQ130" s="298">
        <f t="shared" si="55"/>
        <v>62569.140000000007</v>
      </c>
      <c r="AR130" s="298">
        <f t="shared" si="55"/>
        <v>62569.100000000006</v>
      </c>
      <c r="AS130" s="298">
        <f>SUM(AS116:AS129)</f>
        <v>3119585.0000000005</v>
      </c>
    </row>
    <row r="131" spans="1:45" ht="114.75">
      <c r="A131" s="299" t="s">
        <v>895</v>
      </c>
      <c r="B131" s="300">
        <v>1</v>
      </c>
      <c r="C131" s="244" t="s">
        <v>896</v>
      </c>
      <c r="D131" s="301" t="s">
        <v>897</v>
      </c>
      <c r="E131" s="302" t="s">
        <v>898</v>
      </c>
      <c r="F131" s="303" t="s">
        <v>899</v>
      </c>
      <c r="G131" s="155" t="s">
        <v>900</v>
      </c>
      <c r="H131" s="304" t="s">
        <v>901</v>
      </c>
      <c r="I131" s="304" t="s">
        <v>902</v>
      </c>
      <c r="J131" s="305"/>
      <c r="K131" s="305">
        <v>40000</v>
      </c>
      <c r="L131" s="306" t="s">
        <v>375</v>
      </c>
      <c r="M131" s="307" t="s">
        <v>68</v>
      </c>
      <c r="N131" s="307"/>
      <c r="O131" s="305">
        <v>40000</v>
      </c>
      <c r="P131" s="305"/>
      <c r="Q131" s="308">
        <f>SUM(O131:P131)</f>
        <v>40000</v>
      </c>
      <c r="R131" s="309">
        <v>40000</v>
      </c>
      <c r="S131" s="309"/>
      <c r="T131" s="309"/>
      <c r="U131" s="309"/>
      <c r="V131" s="309"/>
      <c r="W131" s="309"/>
      <c r="X131" s="309"/>
      <c r="Y131" s="308">
        <f>SUM(R131:X131)</f>
        <v>40000</v>
      </c>
      <c r="Z131" s="310" t="s">
        <v>895</v>
      </c>
      <c r="AA131" s="310" t="s">
        <v>903</v>
      </c>
      <c r="AB131" s="310" t="s">
        <v>904</v>
      </c>
      <c r="AC131" s="311"/>
      <c r="AD131" s="311">
        <v>41759</v>
      </c>
      <c r="AE131" s="312" t="s">
        <v>368</v>
      </c>
      <c r="AF131" s="306" t="s">
        <v>905</v>
      </c>
      <c r="AG131" s="313">
        <v>16000</v>
      </c>
      <c r="AH131" s="313">
        <v>4000</v>
      </c>
      <c r="AI131" s="313">
        <v>9000</v>
      </c>
      <c r="AJ131" s="313">
        <v>9500</v>
      </c>
      <c r="AK131" s="313"/>
      <c r="AL131" s="313"/>
      <c r="AM131" s="313"/>
      <c r="AN131" s="313">
        <v>1500</v>
      </c>
      <c r="AO131" s="313"/>
      <c r="AP131" s="313"/>
      <c r="AQ131" s="313"/>
      <c r="AR131" s="313"/>
      <c r="AS131" s="314">
        <f>SUM(AG131:AR131)</f>
        <v>40000</v>
      </c>
    </row>
    <row r="132" spans="1:45" ht="76.5">
      <c r="A132" s="299" t="s">
        <v>895</v>
      </c>
      <c r="B132" s="169">
        <v>2</v>
      </c>
      <c r="C132" s="269" t="s">
        <v>906</v>
      </c>
      <c r="D132" s="273" t="s">
        <v>897</v>
      </c>
      <c r="E132" s="155" t="s">
        <v>907</v>
      </c>
      <c r="F132" s="155" t="s">
        <v>908</v>
      </c>
      <c r="G132" s="155"/>
      <c r="H132" s="155"/>
      <c r="I132" s="156"/>
      <c r="J132" s="157"/>
      <c r="K132" s="157">
        <v>352000</v>
      </c>
      <c r="L132" s="165"/>
      <c r="M132" s="159" t="s">
        <v>68</v>
      </c>
      <c r="N132" s="159"/>
      <c r="O132" s="157">
        <v>352000</v>
      </c>
      <c r="P132" s="157"/>
      <c r="Q132" s="160">
        <f>O132</f>
        <v>352000</v>
      </c>
      <c r="R132" s="161">
        <v>15874.22</v>
      </c>
      <c r="S132" s="161"/>
      <c r="T132" s="161"/>
      <c r="U132" s="161"/>
      <c r="V132" s="161"/>
      <c r="W132" s="161"/>
      <c r="X132" s="161">
        <v>336125.78</v>
      </c>
      <c r="Y132" s="160">
        <f>SUM(R132:X132)</f>
        <v>352000</v>
      </c>
      <c r="Z132" s="162" t="s">
        <v>895</v>
      </c>
      <c r="AA132" s="162" t="s">
        <v>909</v>
      </c>
      <c r="AB132" s="162" t="s">
        <v>910</v>
      </c>
      <c r="AC132" s="315">
        <v>42037</v>
      </c>
      <c r="AD132" s="315" t="s">
        <v>225</v>
      </c>
      <c r="AE132" s="211" t="s">
        <v>424</v>
      </c>
      <c r="AF132" s="191"/>
      <c r="AG132" s="166"/>
      <c r="AH132" s="166"/>
      <c r="AI132" s="166"/>
      <c r="AJ132" s="166"/>
      <c r="AK132" s="166"/>
      <c r="AL132" s="166">
        <v>15874.22</v>
      </c>
      <c r="AM132" s="166"/>
      <c r="AN132" s="166"/>
      <c r="AO132" s="166"/>
      <c r="AP132" s="166"/>
      <c r="AQ132" s="166"/>
      <c r="AR132" s="166"/>
      <c r="AS132" s="167">
        <f t="shared" ref="AS132:AS149" si="57">SUM(AG132:AR132)</f>
        <v>15874.22</v>
      </c>
    </row>
    <row r="133" spans="1:45" ht="114.75">
      <c r="A133" s="299" t="s">
        <v>895</v>
      </c>
      <c r="B133" s="169">
        <v>3</v>
      </c>
      <c r="C133" s="316" t="s">
        <v>911</v>
      </c>
      <c r="D133" s="317" t="s">
        <v>912</v>
      </c>
      <c r="E133" s="155" t="s">
        <v>913</v>
      </c>
      <c r="F133" s="155"/>
      <c r="G133" s="155"/>
      <c r="H133" s="155"/>
      <c r="I133" s="156"/>
      <c r="J133" s="157">
        <v>7500</v>
      </c>
      <c r="K133" s="157"/>
      <c r="L133" s="165"/>
      <c r="M133" s="159" t="s">
        <v>68</v>
      </c>
      <c r="N133" s="159"/>
      <c r="O133" s="157">
        <v>7500</v>
      </c>
      <c r="P133" s="157"/>
      <c r="Q133" s="160">
        <v>7500</v>
      </c>
      <c r="R133" s="161">
        <v>7500</v>
      </c>
      <c r="S133" s="161"/>
      <c r="T133" s="161"/>
      <c r="U133" s="161"/>
      <c r="V133" s="161"/>
      <c r="W133" s="161"/>
      <c r="X133" s="161"/>
      <c r="Y133" s="160">
        <v>7500</v>
      </c>
      <c r="Z133" s="162" t="s">
        <v>895</v>
      </c>
      <c r="AA133" s="162" t="s">
        <v>914</v>
      </c>
      <c r="AB133" s="162" t="s">
        <v>915</v>
      </c>
      <c r="AC133" s="163">
        <v>42005</v>
      </c>
      <c r="AD133" s="163">
        <v>42094</v>
      </c>
      <c r="AE133" s="211" t="s">
        <v>424</v>
      </c>
      <c r="AF133" s="191"/>
      <c r="AG133" s="166">
        <v>2500</v>
      </c>
      <c r="AH133" s="166">
        <v>2500</v>
      </c>
      <c r="AI133" s="166">
        <v>2500</v>
      </c>
      <c r="AJ133" s="166"/>
      <c r="AK133" s="166"/>
      <c r="AL133" s="166"/>
      <c r="AM133" s="166"/>
      <c r="AN133" s="166"/>
      <c r="AO133" s="166"/>
      <c r="AP133" s="166"/>
      <c r="AQ133" s="166"/>
      <c r="AR133" s="166"/>
      <c r="AS133" s="167">
        <f t="shared" si="57"/>
        <v>7500</v>
      </c>
    </row>
    <row r="134" spans="1:45" ht="114.75">
      <c r="A134" s="299" t="s">
        <v>895</v>
      </c>
      <c r="B134" s="169">
        <v>4</v>
      </c>
      <c r="C134" s="318" t="s">
        <v>916</v>
      </c>
      <c r="D134" s="317" t="s">
        <v>912</v>
      </c>
      <c r="E134" s="155" t="s">
        <v>913</v>
      </c>
      <c r="F134" s="155"/>
      <c r="G134" s="155"/>
      <c r="H134" s="155"/>
      <c r="I134" s="156"/>
      <c r="J134" s="157">
        <v>7500</v>
      </c>
      <c r="K134" s="157"/>
      <c r="L134" s="158"/>
      <c r="M134" s="159" t="s">
        <v>68</v>
      </c>
      <c r="N134" s="159"/>
      <c r="O134" s="157">
        <v>7500</v>
      </c>
      <c r="P134" s="157"/>
      <c r="Q134" s="160">
        <v>7500</v>
      </c>
      <c r="R134" s="161">
        <v>7500</v>
      </c>
      <c r="S134" s="161"/>
      <c r="T134" s="161"/>
      <c r="U134" s="161"/>
      <c r="V134" s="161"/>
      <c r="W134" s="161"/>
      <c r="X134" s="161"/>
      <c r="Y134" s="160">
        <v>7500</v>
      </c>
      <c r="Z134" s="162" t="s">
        <v>895</v>
      </c>
      <c r="AA134" s="162" t="s">
        <v>914</v>
      </c>
      <c r="AB134" s="162" t="s">
        <v>915</v>
      </c>
      <c r="AC134" s="163">
        <v>42005</v>
      </c>
      <c r="AD134" s="163">
        <v>42094</v>
      </c>
      <c r="AE134" s="211" t="s">
        <v>424</v>
      </c>
      <c r="AF134" s="191"/>
      <c r="AG134" s="166">
        <v>2500</v>
      </c>
      <c r="AH134" s="166">
        <v>2500</v>
      </c>
      <c r="AI134" s="166">
        <v>2500</v>
      </c>
      <c r="AJ134" s="166"/>
      <c r="AK134" s="166"/>
      <c r="AL134" s="166"/>
      <c r="AM134" s="166"/>
      <c r="AN134" s="166"/>
      <c r="AO134" s="166"/>
      <c r="AP134" s="166"/>
      <c r="AQ134" s="166"/>
      <c r="AR134" s="166"/>
      <c r="AS134" s="167">
        <f t="shared" si="57"/>
        <v>7500</v>
      </c>
    </row>
    <row r="135" spans="1:45" ht="114.75">
      <c r="A135" s="299" t="s">
        <v>895</v>
      </c>
      <c r="B135" s="169">
        <v>5</v>
      </c>
      <c r="C135" s="319" t="s">
        <v>917</v>
      </c>
      <c r="D135" s="168" t="s">
        <v>912</v>
      </c>
      <c r="E135" s="155" t="s">
        <v>918</v>
      </c>
      <c r="F135" s="155"/>
      <c r="G135" s="155"/>
      <c r="H135" s="156"/>
      <c r="I135" s="156"/>
      <c r="J135" s="157">
        <v>7500</v>
      </c>
      <c r="K135" s="157"/>
      <c r="L135" s="158"/>
      <c r="M135" s="159" t="s">
        <v>68</v>
      </c>
      <c r="N135" s="159"/>
      <c r="O135" s="157">
        <v>7500</v>
      </c>
      <c r="P135" s="157"/>
      <c r="Q135" s="160">
        <f>SUM(O135:P135)</f>
        <v>7500</v>
      </c>
      <c r="R135" s="161">
        <v>7500</v>
      </c>
      <c r="S135" s="161"/>
      <c r="T135" s="161"/>
      <c r="U135" s="161"/>
      <c r="V135" s="161"/>
      <c r="W135" s="161"/>
      <c r="X135" s="161"/>
      <c r="Y135" s="160">
        <f>SUM(R135:X135)</f>
        <v>7500</v>
      </c>
      <c r="Z135" s="162" t="s">
        <v>895</v>
      </c>
      <c r="AA135" s="162" t="s">
        <v>914</v>
      </c>
      <c r="AB135" s="162" t="s">
        <v>919</v>
      </c>
      <c r="AC135" s="163">
        <v>42036</v>
      </c>
      <c r="AD135" s="163">
        <v>42094</v>
      </c>
      <c r="AE135" s="211" t="s">
        <v>424</v>
      </c>
      <c r="AF135" s="191"/>
      <c r="AG135" s="166"/>
      <c r="AH135" s="166">
        <v>5000</v>
      </c>
      <c r="AI135" s="166">
        <v>2500</v>
      </c>
      <c r="AJ135" s="166"/>
      <c r="AK135" s="166"/>
      <c r="AL135" s="166"/>
      <c r="AM135" s="166"/>
      <c r="AN135" s="166"/>
      <c r="AO135" s="166"/>
      <c r="AP135" s="166"/>
      <c r="AQ135" s="166"/>
      <c r="AR135" s="166"/>
      <c r="AS135" s="167">
        <f t="shared" si="57"/>
        <v>7500</v>
      </c>
    </row>
    <row r="136" spans="1:45" ht="114.75">
      <c r="A136" s="299" t="s">
        <v>895</v>
      </c>
      <c r="B136" s="169">
        <v>6</v>
      </c>
      <c r="C136" s="319" t="s">
        <v>920</v>
      </c>
      <c r="D136" s="168" t="s">
        <v>912</v>
      </c>
      <c r="E136" s="155" t="s">
        <v>918</v>
      </c>
      <c r="F136" s="155"/>
      <c r="G136" s="155"/>
      <c r="H136" s="156"/>
      <c r="I136" s="156"/>
      <c r="J136" s="157">
        <v>7500</v>
      </c>
      <c r="K136" s="157"/>
      <c r="L136" s="158"/>
      <c r="M136" s="159" t="s">
        <v>68</v>
      </c>
      <c r="N136" s="159"/>
      <c r="O136" s="157">
        <v>7500</v>
      </c>
      <c r="P136" s="157"/>
      <c r="Q136" s="160">
        <f>SUM(O136:P136)</f>
        <v>7500</v>
      </c>
      <c r="R136" s="161">
        <v>7500</v>
      </c>
      <c r="S136" s="161"/>
      <c r="T136" s="161"/>
      <c r="U136" s="161"/>
      <c r="V136" s="161"/>
      <c r="W136" s="161"/>
      <c r="X136" s="161"/>
      <c r="Y136" s="160">
        <f>SUM(R136:X136)</f>
        <v>7500</v>
      </c>
      <c r="Z136" s="162" t="s">
        <v>895</v>
      </c>
      <c r="AA136" s="162" t="s">
        <v>914</v>
      </c>
      <c r="AB136" s="162" t="s">
        <v>921</v>
      </c>
      <c r="AC136" s="163">
        <v>42095</v>
      </c>
      <c r="AD136" s="163">
        <v>42155</v>
      </c>
      <c r="AE136" s="211" t="s">
        <v>424</v>
      </c>
      <c r="AF136" s="191"/>
      <c r="AG136" s="166"/>
      <c r="AH136" s="166"/>
      <c r="AI136" s="166"/>
      <c r="AJ136" s="166">
        <v>2500</v>
      </c>
      <c r="AK136" s="166">
        <v>5000</v>
      </c>
      <c r="AL136" s="166"/>
      <c r="AM136" s="166"/>
      <c r="AN136" s="166"/>
      <c r="AO136" s="166"/>
      <c r="AP136" s="166"/>
      <c r="AQ136" s="166"/>
      <c r="AR136" s="166"/>
      <c r="AS136" s="167">
        <f t="shared" si="57"/>
        <v>7500</v>
      </c>
    </row>
    <row r="137" spans="1:45" ht="114.75">
      <c r="A137" s="299" t="s">
        <v>895</v>
      </c>
      <c r="B137" s="169">
        <v>7</v>
      </c>
      <c r="C137" s="320" t="s">
        <v>922</v>
      </c>
      <c r="D137" s="168" t="s">
        <v>912</v>
      </c>
      <c r="E137" s="155" t="s">
        <v>918</v>
      </c>
      <c r="F137" s="155"/>
      <c r="G137" s="155"/>
      <c r="H137" s="156"/>
      <c r="I137" s="156"/>
      <c r="J137" s="157">
        <v>180000</v>
      </c>
      <c r="K137" s="157"/>
      <c r="L137" s="158"/>
      <c r="M137" s="159" t="s">
        <v>68</v>
      </c>
      <c r="N137" s="159"/>
      <c r="O137" s="157"/>
      <c r="P137" s="157">
        <v>180000</v>
      </c>
      <c r="Q137" s="160">
        <f>P137</f>
        <v>180000</v>
      </c>
      <c r="R137" s="161">
        <v>180000</v>
      </c>
      <c r="S137" s="161"/>
      <c r="T137" s="161"/>
      <c r="U137" s="161"/>
      <c r="V137" s="161"/>
      <c r="W137" s="161"/>
      <c r="X137" s="161"/>
      <c r="Y137" s="160">
        <f>SUM(R137:X137)</f>
        <v>180000</v>
      </c>
      <c r="Z137" s="162" t="s">
        <v>895</v>
      </c>
      <c r="AA137" s="162" t="s">
        <v>914</v>
      </c>
      <c r="AB137" s="162" t="s">
        <v>923</v>
      </c>
      <c r="AC137" s="163">
        <v>42125</v>
      </c>
      <c r="AD137" s="163">
        <v>42307</v>
      </c>
      <c r="AE137" s="211" t="s">
        <v>924</v>
      </c>
      <c r="AF137" s="191"/>
      <c r="AG137" s="166"/>
      <c r="AH137" s="166"/>
      <c r="AI137" s="166"/>
      <c r="AJ137" s="166"/>
      <c r="AK137" s="166"/>
      <c r="AL137" s="166"/>
      <c r="AM137" s="166">
        <v>80000</v>
      </c>
      <c r="AN137" s="166">
        <v>20000</v>
      </c>
      <c r="AO137" s="166">
        <v>20000</v>
      </c>
      <c r="AP137" s="166">
        <v>20000</v>
      </c>
      <c r="AQ137" s="166">
        <v>20000</v>
      </c>
      <c r="AR137" s="166">
        <v>20000</v>
      </c>
      <c r="AS137" s="167">
        <f t="shared" si="57"/>
        <v>180000</v>
      </c>
    </row>
    <row r="138" spans="1:45" ht="216.75">
      <c r="A138" s="299" t="s">
        <v>895</v>
      </c>
      <c r="B138" s="169">
        <v>8</v>
      </c>
      <c r="C138" s="320" t="s">
        <v>925</v>
      </c>
      <c r="D138" s="168" t="s">
        <v>912</v>
      </c>
      <c r="E138" s="156" t="s">
        <v>926</v>
      </c>
      <c r="F138" s="156"/>
      <c r="G138" s="156"/>
      <c r="H138" s="156"/>
      <c r="I138" s="156"/>
      <c r="J138" s="157">
        <v>981586.77</v>
      </c>
      <c r="K138" s="157"/>
      <c r="L138" s="158"/>
      <c r="M138" s="159" t="s">
        <v>68</v>
      </c>
      <c r="N138" s="159"/>
      <c r="O138" s="157"/>
      <c r="P138" s="157">
        <v>981586.77</v>
      </c>
      <c r="Q138" s="160">
        <f t="shared" ref="Q138:Q149" si="58">SUM(O138:P138)</f>
        <v>981586.77</v>
      </c>
      <c r="R138" s="157">
        <v>981586.77</v>
      </c>
      <c r="S138" s="161"/>
      <c r="T138" s="161"/>
      <c r="U138" s="161"/>
      <c r="V138" s="161"/>
      <c r="W138" s="161"/>
      <c r="X138" s="161"/>
      <c r="Y138" s="160">
        <f t="shared" ref="Y138:Y149" si="59">SUM(R138:X138)</f>
        <v>981586.77</v>
      </c>
      <c r="Z138" s="162" t="s">
        <v>895</v>
      </c>
      <c r="AA138" s="162" t="s">
        <v>914</v>
      </c>
      <c r="AB138" s="162" t="s">
        <v>927</v>
      </c>
      <c r="AC138" s="163">
        <v>42036</v>
      </c>
      <c r="AD138" s="163">
        <v>42369</v>
      </c>
      <c r="AE138" s="211" t="s">
        <v>924</v>
      </c>
      <c r="AF138" s="191"/>
      <c r="AG138" s="166"/>
      <c r="AH138" s="166">
        <v>25000</v>
      </c>
      <c r="AI138" s="166">
        <v>50000</v>
      </c>
      <c r="AJ138" s="166">
        <v>75000</v>
      </c>
      <c r="AK138" s="166">
        <v>100000</v>
      </c>
      <c r="AL138" s="166">
        <v>100000</v>
      </c>
      <c r="AM138" s="166">
        <v>100000</v>
      </c>
      <c r="AN138" s="166">
        <v>100000</v>
      </c>
      <c r="AO138" s="166">
        <v>100000</v>
      </c>
      <c r="AP138" s="166">
        <v>150000</v>
      </c>
      <c r="AQ138" s="166">
        <v>100000</v>
      </c>
      <c r="AR138" s="166">
        <v>81586.77</v>
      </c>
      <c r="AS138" s="167">
        <f t="shared" si="57"/>
        <v>981586.77</v>
      </c>
    </row>
    <row r="139" spans="1:45" ht="165.75">
      <c r="A139" s="321" t="s">
        <v>895</v>
      </c>
      <c r="B139" s="169">
        <v>9</v>
      </c>
      <c r="C139" s="320" t="s">
        <v>928</v>
      </c>
      <c r="D139" s="168" t="s">
        <v>929</v>
      </c>
      <c r="E139" s="156" t="s">
        <v>930</v>
      </c>
      <c r="F139" s="156"/>
      <c r="G139" s="156"/>
      <c r="H139" s="156"/>
      <c r="I139" s="156"/>
      <c r="J139" s="157"/>
      <c r="K139" s="157">
        <v>20000</v>
      </c>
      <c r="L139" s="158"/>
      <c r="M139" s="159" t="s">
        <v>68</v>
      </c>
      <c r="N139" s="159"/>
      <c r="O139" s="157">
        <v>20000</v>
      </c>
      <c r="P139" s="157"/>
      <c r="Q139" s="160">
        <f t="shared" si="58"/>
        <v>20000</v>
      </c>
      <c r="R139" s="157">
        <v>10000</v>
      </c>
      <c r="S139" s="161"/>
      <c r="T139" s="161">
        <v>10000</v>
      </c>
      <c r="U139" s="161"/>
      <c r="V139" s="161"/>
      <c r="W139" s="161"/>
      <c r="X139" s="161"/>
      <c r="Y139" s="160">
        <f t="shared" si="59"/>
        <v>20000</v>
      </c>
      <c r="Z139" s="162" t="s">
        <v>895</v>
      </c>
      <c r="AA139" s="162" t="s">
        <v>931</v>
      </c>
      <c r="AB139" s="162" t="s">
        <v>932</v>
      </c>
      <c r="AC139" s="163">
        <v>42036</v>
      </c>
      <c r="AD139" s="163">
        <v>42094</v>
      </c>
      <c r="AE139" s="211" t="s">
        <v>924</v>
      </c>
      <c r="AF139" s="191"/>
      <c r="AG139" s="166"/>
      <c r="AH139" s="166">
        <v>5000</v>
      </c>
      <c r="AI139" s="166">
        <v>5000</v>
      </c>
      <c r="AJ139" s="166"/>
      <c r="AK139" s="166"/>
      <c r="AL139" s="166"/>
      <c r="AM139" s="166"/>
      <c r="AN139" s="166"/>
      <c r="AO139" s="166"/>
      <c r="AP139" s="166"/>
      <c r="AQ139" s="166"/>
      <c r="AR139" s="166"/>
      <c r="AS139" s="167">
        <f t="shared" si="57"/>
        <v>10000</v>
      </c>
    </row>
    <row r="140" spans="1:45" ht="165.75">
      <c r="A140" s="321" t="s">
        <v>895</v>
      </c>
      <c r="B140" s="169">
        <v>10</v>
      </c>
      <c r="C140" s="320" t="s">
        <v>933</v>
      </c>
      <c r="D140" s="322" t="s">
        <v>934</v>
      </c>
      <c r="E140" s="156" t="s">
        <v>930</v>
      </c>
      <c r="F140" s="156"/>
      <c r="G140" s="156"/>
      <c r="H140" s="156"/>
      <c r="I140" s="156"/>
      <c r="J140" s="157"/>
      <c r="K140" s="157">
        <v>30000</v>
      </c>
      <c r="L140" s="158"/>
      <c r="M140" s="159" t="s">
        <v>68</v>
      </c>
      <c r="N140" s="159"/>
      <c r="O140" s="157">
        <v>30000</v>
      </c>
      <c r="P140" s="157"/>
      <c r="Q140" s="160">
        <f t="shared" si="58"/>
        <v>30000</v>
      </c>
      <c r="R140" s="157">
        <v>15000</v>
      </c>
      <c r="S140" s="161"/>
      <c r="T140" s="161">
        <v>15000</v>
      </c>
      <c r="U140" s="161"/>
      <c r="V140" s="161"/>
      <c r="W140" s="161"/>
      <c r="X140" s="161"/>
      <c r="Y140" s="160">
        <f t="shared" si="59"/>
        <v>30000</v>
      </c>
      <c r="Z140" s="162" t="s">
        <v>895</v>
      </c>
      <c r="AA140" s="162" t="s">
        <v>931</v>
      </c>
      <c r="AB140" s="162" t="s">
        <v>935</v>
      </c>
      <c r="AC140" s="163">
        <v>42064</v>
      </c>
      <c r="AD140" s="163" t="s">
        <v>792</v>
      </c>
      <c r="AE140" s="211" t="s">
        <v>924</v>
      </c>
      <c r="AF140" s="191"/>
      <c r="AG140" s="166"/>
      <c r="AH140" s="166"/>
      <c r="AI140" s="166">
        <v>7500</v>
      </c>
      <c r="AJ140" s="166">
        <v>7500</v>
      </c>
      <c r="AK140" s="166"/>
      <c r="AL140" s="166"/>
      <c r="AM140" s="166"/>
      <c r="AN140" s="166"/>
      <c r="AO140" s="166"/>
      <c r="AP140" s="166"/>
      <c r="AQ140" s="166"/>
      <c r="AR140" s="166"/>
      <c r="AS140" s="167">
        <f t="shared" si="57"/>
        <v>15000</v>
      </c>
    </row>
    <row r="141" spans="1:45" ht="165.75">
      <c r="A141" s="321" t="s">
        <v>895</v>
      </c>
      <c r="B141" s="169">
        <v>11</v>
      </c>
      <c r="C141" s="320" t="s">
        <v>936</v>
      </c>
      <c r="D141" s="322" t="s">
        <v>937</v>
      </c>
      <c r="E141" s="156" t="s">
        <v>930</v>
      </c>
      <c r="F141" s="156"/>
      <c r="G141" s="156"/>
      <c r="H141" s="156"/>
      <c r="I141" s="156"/>
      <c r="J141" s="157"/>
      <c r="K141" s="157">
        <v>5000</v>
      </c>
      <c r="L141" s="158"/>
      <c r="M141" s="159" t="s">
        <v>68</v>
      </c>
      <c r="N141" s="159"/>
      <c r="O141" s="157">
        <v>5000</v>
      </c>
      <c r="P141" s="157"/>
      <c r="Q141" s="160">
        <f t="shared" si="58"/>
        <v>5000</v>
      </c>
      <c r="R141" s="157">
        <v>2500</v>
      </c>
      <c r="S141" s="161"/>
      <c r="T141" s="161">
        <v>2500</v>
      </c>
      <c r="U141" s="161"/>
      <c r="V141" s="161"/>
      <c r="W141" s="161"/>
      <c r="X141" s="161"/>
      <c r="Y141" s="160">
        <f t="shared" si="59"/>
        <v>5000</v>
      </c>
      <c r="Z141" s="162" t="s">
        <v>895</v>
      </c>
      <c r="AA141" s="162" t="s">
        <v>931</v>
      </c>
      <c r="AB141" s="162" t="s">
        <v>938</v>
      </c>
      <c r="AC141" s="163">
        <v>42064</v>
      </c>
      <c r="AD141" s="163">
        <v>42124</v>
      </c>
      <c r="AE141" s="211" t="s">
        <v>924</v>
      </c>
      <c r="AF141" s="191"/>
      <c r="AG141" s="166"/>
      <c r="AH141" s="166"/>
      <c r="AI141" s="166">
        <v>2500</v>
      </c>
      <c r="AJ141" s="166"/>
      <c r="AK141" s="166"/>
      <c r="AL141" s="166"/>
      <c r="AM141" s="166"/>
      <c r="AN141" s="166"/>
      <c r="AO141" s="166"/>
      <c r="AP141" s="166"/>
      <c r="AQ141" s="166"/>
      <c r="AR141" s="166"/>
      <c r="AS141" s="167">
        <f t="shared" si="57"/>
        <v>2500</v>
      </c>
    </row>
    <row r="142" spans="1:45" ht="165.75">
      <c r="A142" s="321" t="s">
        <v>895</v>
      </c>
      <c r="B142" s="169">
        <v>12</v>
      </c>
      <c r="C142" s="320" t="s">
        <v>939</v>
      </c>
      <c r="D142" s="322" t="s">
        <v>940</v>
      </c>
      <c r="E142" s="156" t="s">
        <v>930</v>
      </c>
      <c r="F142" s="156"/>
      <c r="G142" s="156"/>
      <c r="H142" s="156"/>
      <c r="I142" s="156"/>
      <c r="J142" s="157"/>
      <c r="K142" s="157">
        <v>25000</v>
      </c>
      <c r="L142" s="158"/>
      <c r="M142" s="159" t="s">
        <v>68</v>
      </c>
      <c r="N142" s="159"/>
      <c r="O142" s="157">
        <v>25000</v>
      </c>
      <c r="P142" s="157"/>
      <c r="Q142" s="160">
        <f t="shared" si="58"/>
        <v>25000</v>
      </c>
      <c r="R142" s="157">
        <v>12500</v>
      </c>
      <c r="S142" s="161"/>
      <c r="T142" s="161">
        <v>12500</v>
      </c>
      <c r="U142" s="161"/>
      <c r="V142" s="161"/>
      <c r="W142" s="161"/>
      <c r="X142" s="161"/>
      <c r="Y142" s="160">
        <f t="shared" si="59"/>
        <v>25000</v>
      </c>
      <c r="Z142" s="162" t="s">
        <v>895</v>
      </c>
      <c r="AA142" s="162" t="s">
        <v>931</v>
      </c>
      <c r="AB142" s="162" t="s">
        <v>941</v>
      </c>
      <c r="AC142" s="163">
        <v>42095</v>
      </c>
      <c r="AD142" s="163">
        <v>42155</v>
      </c>
      <c r="AE142" s="211" t="s">
        <v>924</v>
      </c>
      <c r="AF142" s="191"/>
      <c r="AG142" s="166"/>
      <c r="AH142" s="166"/>
      <c r="AI142" s="166"/>
      <c r="AJ142" s="166">
        <v>6250</v>
      </c>
      <c r="AK142" s="166">
        <v>6250</v>
      </c>
      <c r="AL142" s="166"/>
      <c r="AM142" s="166"/>
      <c r="AN142" s="166"/>
      <c r="AO142" s="166"/>
      <c r="AP142" s="166"/>
      <c r="AQ142" s="166"/>
      <c r="AR142" s="166"/>
      <c r="AS142" s="167">
        <f t="shared" si="57"/>
        <v>12500</v>
      </c>
    </row>
    <row r="143" spans="1:45" ht="165.75">
      <c r="A143" s="321" t="s">
        <v>895</v>
      </c>
      <c r="B143" s="169">
        <v>13</v>
      </c>
      <c r="C143" s="320" t="s">
        <v>942</v>
      </c>
      <c r="D143" s="322" t="s">
        <v>940</v>
      </c>
      <c r="E143" s="156" t="s">
        <v>930</v>
      </c>
      <c r="F143" s="156"/>
      <c r="G143" s="156"/>
      <c r="H143" s="156"/>
      <c r="I143" s="156"/>
      <c r="J143" s="157"/>
      <c r="K143" s="157">
        <v>25000</v>
      </c>
      <c r="L143" s="158"/>
      <c r="M143" s="159" t="s">
        <v>68</v>
      </c>
      <c r="N143" s="159"/>
      <c r="O143" s="157">
        <v>25000</v>
      </c>
      <c r="P143" s="157"/>
      <c r="Q143" s="160">
        <f t="shared" si="58"/>
        <v>25000</v>
      </c>
      <c r="R143" s="157">
        <v>12500</v>
      </c>
      <c r="S143" s="161"/>
      <c r="T143" s="161">
        <v>12500</v>
      </c>
      <c r="U143" s="161"/>
      <c r="V143" s="161"/>
      <c r="W143" s="161"/>
      <c r="X143" s="161"/>
      <c r="Y143" s="160">
        <f t="shared" si="59"/>
        <v>25000</v>
      </c>
      <c r="Z143" s="162" t="s">
        <v>895</v>
      </c>
      <c r="AA143" s="162" t="s">
        <v>931</v>
      </c>
      <c r="AB143" s="162" t="s">
        <v>943</v>
      </c>
      <c r="AC143" s="163">
        <v>42278</v>
      </c>
      <c r="AD143" s="163">
        <v>42338</v>
      </c>
      <c r="AE143" s="211" t="s">
        <v>924</v>
      </c>
      <c r="AF143" s="191"/>
      <c r="AG143" s="166"/>
      <c r="AH143" s="166"/>
      <c r="AI143" s="166"/>
      <c r="AJ143" s="166"/>
      <c r="AK143" s="166"/>
      <c r="AL143" s="166"/>
      <c r="AM143" s="166"/>
      <c r="AN143" s="166"/>
      <c r="AO143" s="166"/>
      <c r="AP143" s="166">
        <v>6250</v>
      </c>
      <c r="AQ143" s="166">
        <v>6250</v>
      </c>
      <c r="AR143" s="166"/>
      <c r="AS143" s="167">
        <f t="shared" si="57"/>
        <v>12500</v>
      </c>
    </row>
    <row r="144" spans="1:45" ht="165.75">
      <c r="A144" s="321" t="s">
        <v>895</v>
      </c>
      <c r="B144" s="169">
        <v>13</v>
      </c>
      <c r="C144" s="320" t="s">
        <v>944</v>
      </c>
      <c r="D144" s="322" t="s">
        <v>940</v>
      </c>
      <c r="E144" s="156" t="s">
        <v>930</v>
      </c>
      <c r="F144" s="156"/>
      <c r="G144" s="156"/>
      <c r="H144" s="156"/>
      <c r="I144" s="156"/>
      <c r="J144" s="157"/>
      <c r="K144" s="157">
        <v>25000</v>
      </c>
      <c r="L144" s="158"/>
      <c r="M144" s="159" t="s">
        <v>68</v>
      </c>
      <c r="N144" s="159"/>
      <c r="O144" s="157">
        <v>25000</v>
      </c>
      <c r="P144" s="157"/>
      <c r="Q144" s="160">
        <f t="shared" si="58"/>
        <v>25000</v>
      </c>
      <c r="R144" s="157">
        <v>12500</v>
      </c>
      <c r="S144" s="161"/>
      <c r="T144" s="161">
        <v>12500</v>
      </c>
      <c r="U144" s="161"/>
      <c r="V144" s="161"/>
      <c r="W144" s="161"/>
      <c r="X144" s="161"/>
      <c r="Y144" s="160">
        <f t="shared" si="59"/>
        <v>25000</v>
      </c>
      <c r="Z144" s="162" t="s">
        <v>895</v>
      </c>
      <c r="AA144" s="162" t="s">
        <v>931</v>
      </c>
      <c r="AB144" s="162" t="s">
        <v>932</v>
      </c>
      <c r="AC144" s="163">
        <v>42156</v>
      </c>
      <c r="AD144" s="163">
        <v>42216</v>
      </c>
      <c r="AE144" s="211" t="s">
        <v>924</v>
      </c>
      <c r="AF144" s="191"/>
      <c r="AG144" s="166"/>
      <c r="AH144" s="166"/>
      <c r="AI144" s="166"/>
      <c r="AJ144" s="166"/>
      <c r="AK144" s="166"/>
      <c r="AL144" s="166">
        <v>6250</v>
      </c>
      <c r="AM144" s="166">
        <v>6250</v>
      </c>
      <c r="AN144" s="166"/>
      <c r="AO144" s="166"/>
      <c r="AP144" s="166"/>
      <c r="AQ144" s="166"/>
      <c r="AR144" s="166"/>
      <c r="AS144" s="167">
        <f t="shared" si="57"/>
        <v>12500</v>
      </c>
    </row>
    <row r="145" spans="1:46" ht="165.75">
      <c r="A145" s="321" t="s">
        <v>895</v>
      </c>
      <c r="B145" s="169">
        <v>14</v>
      </c>
      <c r="C145" s="320" t="s">
        <v>945</v>
      </c>
      <c r="D145" s="322" t="s">
        <v>940</v>
      </c>
      <c r="E145" s="156" t="s">
        <v>930</v>
      </c>
      <c r="F145" s="156"/>
      <c r="G145" s="156"/>
      <c r="H145" s="156"/>
      <c r="I145" s="156"/>
      <c r="J145" s="157"/>
      <c r="K145" s="157">
        <v>25000</v>
      </c>
      <c r="L145" s="158"/>
      <c r="M145" s="159" t="s">
        <v>68</v>
      </c>
      <c r="N145" s="159"/>
      <c r="O145" s="157">
        <v>25000</v>
      </c>
      <c r="P145" s="157"/>
      <c r="Q145" s="160">
        <f t="shared" si="58"/>
        <v>25000</v>
      </c>
      <c r="R145" s="157">
        <v>12500</v>
      </c>
      <c r="S145" s="161"/>
      <c r="T145" s="161">
        <v>12500</v>
      </c>
      <c r="U145" s="161"/>
      <c r="V145" s="161"/>
      <c r="W145" s="161"/>
      <c r="X145" s="161"/>
      <c r="Y145" s="160">
        <f t="shared" si="59"/>
        <v>25000</v>
      </c>
      <c r="Z145" s="162" t="s">
        <v>895</v>
      </c>
      <c r="AA145" s="162" t="s">
        <v>931</v>
      </c>
      <c r="AB145" s="162" t="s">
        <v>935</v>
      </c>
      <c r="AC145" s="163">
        <v>42217</v>
      </c>
      <c r="AD145" s="163">
        <v>42277</v>
      </c>
      <c r="AE145" s="211" t="s">
        <v>924</v>
      </c>
      <c r="AF145" s="191"/>
      <c r="AG145" s="166"/>
      <c r="AH145" s="166"/>
      <c r="AI145" s="166"/>
      <c r="AJ145" s="166"/>
      <c r="AK145" s="166"/>
      <c r="AL145" s="166"/>
      <c r="AM145" s="166"/>
      <c r="AN145" s="166">
        <v>6250</v>
      </c>
      <c r="AO145" s="166">
        <v>6250</v>
      </c>
      <c r="AP145" s="166"/>
      <c r="AQ145" s="166"/>
      <c r="AR145" s="166"/>
      <c r="AS145" s="167">
        <f t="shared" si="57"/>
        <v>12500</v>
      </c>
    </row>
    <row r="146" spans="1:46" ht="165.75">
      <c r="A146" s="321" t="s">
        <v>895</v>
      </c>
      <c r="B146" s="169">
        <v>14</v>
      </c>
      <c r="C146" s="320" t="s">
        <v>946</v>
      </c>
      <c r="D146" s="322" t="s">
        <v>940</v>
      </c>
      <c r="E146" s="156" t="s">
        <v>930</v>
      </c>
      <c r="F146" s="156"/>
      <c r="G146" s="156"/>
      <c r="H146" s="156"/>
      <c r="I146" s="156"/>
      <c r="J146" s="157"/>
      <c r="K146" s="157">
        <v>25000</v>
      </c>
      <c r="L146" s="158"/>
      <c r="M146" s="159" t="s">
        <v>68</v>
      </c>
      <c r="N146" s="159"/>
      <c r="O146" s="157">
        <v>25000</v>
      </c>
      <c r="P146" s="157"/>
      <c r="Q146" s="160">
        <f t="shared" si="58"/>
        <v>25000</v>
      </c>
      <c r="R146" s="157">
        <v>12500</v>
      </c>
      <c r="S146" s="161"/>
      <c r="T146" s="161">
        <v>12500</v>
      </c>
      <c r="U146" s="161"/>
      <c r="V146" s="161"/>
      <c r="W146" s="161"/>
      <c r="X146" s="161"/>
      <c r="Y146" s="160">
        <f t="shared" si="59"/>
        <v>25000</v>
      </c>
      <c r="Z146" s="162" t="s">
        <v>895</v>
      </c>
      <c r="AA146" s="162" t="s">
        <v>931</v>
      </c>
      <c r="AB146" s="162" t="s">
        <v>938</v>
      </c>
      <c r="AC146" s="163">
        <v>42309</v>
      </c>
      <c r="AD146" s="163">
        <v>42369</v>
      </c>
      <c r="AE146" s="211" t="s">
        <v>924</v>
      </c>
      <c r="AF146" s="191"/>
      <c r="AG146" s="166"/>
      <c r="AH146" s="166"/>
      <c r="AI146" s="166"/>
      <c r="AJ146" s="166"/>
      <c r="AK146" s="166"/>
      <c r="AL146" s="166"/>
      <c r="AM146" s="166"/>
      <c r="AN146" s="166"/>
      <c r="AO146" s="166"/>
      <c r="AP146" s="166"/>
      <c r="AQ146" s="166">
        <v>6250</v>
      </c>
      <c r="AR146" s="166">
        <v>6250</v>
      </c>
      <c r="AS146" s="167">
        <f t="shared" si="57"/>
        <v>12500</v>
      </c>
    </row>
    <row r="147" spans="1:46" ht="165.75">
      <c r="A147" s="321" t="s">
        <v>895</v>
      </c>
      <c r="B147" s="169">
        <v>15</v>
      </c>
      <c r="C147" s="320" t="s">
        <v>947</v>
      </c>
      <c r="D147" s="322" t="s">
        <v>948</v>
      </c>
      <c r="E147" s="156" t="s">
        <v>930</v>
      </c>
      <c r="F147" s="156"/>
      <c r="G147" s="156"/>
      <c r="H147" s="156"/>
      <c r="I147" s="156"/>
      <c r="J147" s="157"/>
      <c r="K147" s="157">
        <v>85000</v>
      </c>
      <c r="L147" s="158"/>
      <c r="M147" s="159" t="s">
        <v>68</v>
      </c>
      <c r="N147" s="159"/>
      <c r="O147" s="157">
        <v>85000</v>
      </c>
      <c r="P147" s="157"/>
      <c r="Q147" s="160">
        <f t="shared" si="58"/>
        <v>85000</v>
      </c>
      <c r="R147" s="157">
        <v>42500</v>
      </c>
      <c r="S147" s="161"/>
      <c r="T147" s="161">
        <v>42500</v>
      </c>
      <c r="U147" s="161"/>
      <c r="V147" s="161"/>
      <c r="W147" s="161"/>
      <c r="X147" s="161"/>
      <c r="Y147" s="160">
        <f t="shared" si="59"/>
        <v>85000</v>
      </c>
      <c r="Z147" s="162" t="s">
        <v>895</v>
      </c>
      <c r="AA147" s="162" t="s">
        <v>931</v>
      </c>
      <c r="AB147" s="162" t="s">
        <v>941</v>
      </c>
      <c r="AC147" s="163">
        <v>42186</v>
      </c>
      <c r="AD147" s="163">
        <v>42277</v>
      </c>
      <c r="AE147" s="211" t="s">
        <v>924</v>
      </c>
      <c r="AF147" s="191"/>
      <c r="AG147" s="166"/>
      <c r="AH147" s="166"/>
      <c r="AI147" s="166"/>
      <c r="AJ147" s="166"/>
      <c r="AK147" s="166"/>
      <c r="AL147" s="166"/>
      <c r="AM147" s="166">
        <v>22500</v>
      </c>
      <c r="AN147" s="166">
        <v>10000</v>
      </c>
      <c r="AO147" s="166">
        <v>10000</v>
      </c>
      <c r="AP147" s="166"/>
      <c r="AQ147" s="166"/>
      <c r="AR147" s="166"/>
      <c r="AS147" s="167">
        <f t="shared" si="57"/>
        <v>42500</v>
      </c>
    </row>
    <row r="148" spans="1:46" ht="165.75">
      <c r="A148" s="321" t="s">
        <v>895</v>
      </c>
      <c r="B148" s="169">
        <v>16</v>
      </c>
      <c r="C148" s="320" t="s">
        <v>949</v>
      </c>
      <c r="D148" s="322" t="s">
        <v>950</v>
      </c>
      <c r="E148" s="156" t="s">
        <v>930</v>
      </c>
      <c r="F148" s="156"/>
      <c r="G148" s="156"/>
      <c r="H148" s="156"/>
      <c r="I148" s="156"/>
      <c r="J148" s="157"/>
      <c r="K148" s="157">
        <v>15000</v>
      </c>
      <c r="L148" s="158"/>
      <c r="M148" s="159" t="s">
        <v>68</v>
      </c>
      <c r="N148" s="159"/>
      <c r="O148" s="157">
        <v>15000</v>
      </c>
      <c r="P148" s="157"/>
      <c r="Q148" s="160">
        <f t="shared" si="58"/>
        <v>15000</v>
      </c>
      <c r="R148" s="157">
        <v>10500</v>
      </c>
      <c r="S148" s="161"/>
      <c r="T148" s="161">
        <v>4500</v>
      </c>
      <c r="U148" s="161"/>
      <c r="V148" s="161"/>
      <c r="W148" s="161"/>
      <c r="X148" s="161"/>
      <c r="Y148" s="160">
        <f t="shared" si="59"/>
        <v>15000</v>
      </c>
      <c r="Z148" s="162" t="s">
        <v>895</v>
      </c>
      <c r="AA148" s="162" t="s">
        <v>931</v>
      </c>
      <c r="AB148" s="162" t="s">
        <v>943</v>
      </c>
      <c r="AC148" s="163">
        <v>42064</v>
      </c>
      <c r="AD148" s="163">
        <v>42124</v>
      </c>
      <c r="AE148" s="211" t="s">
        <v>924</v>
      </c>
      <c r="AF148" s="191"/>
      <c r="AG148" s="166"/>
      <c r="AH148" s="166"/>
      <c r="AI148" s="166">
        <v>7000</v>
      </c>
      <c r="AJ148" s="166">
        <v>3500</v>
      </c>
      <c r="AK148" s="166"/>
      <c r="AL148" s="166"/>
      <c r="AM148" s="166"/>
      <c r="AN148" s="166"/>
      <c r="AO148" s="166"/>
      <c r="AP148" s="166"/>
      <c r="AQ148" s="166"/>
      <c r="AR148" s="166"/>
      <c r="AS148" s="167">
        <f t="shared" si="57"/>
        <v>10500</v>
      </c>
    </row>
    <row r="149" spans="1:46" ht="165.75">
      <c r="A149" s="321" t="s">
        <v>895</v>
      </c>
      <c r="B149" s="169">
        <v>17</v>
      </c>
      <c r="C149" s="320" t="s">
        <v>951</v>
      </c>
      <c r="D149" s="322" t="s">
        <v>950</v>
      </c>
      <c r="E149" s="156" t="s">
        <v>930</v>
      </c>
      <c r="F149" s="156"/>
      <c r="G149" s="156"/>
      <c r="H149" s="156"/>
      <c r="I149" s="156"/>
      <c r="J149" s="157"/>
      <c r="K149" s="157">
        <v>25000</v>
      </c>
      <c r="L149" s="158"/>
      <c r="M149" s="159" t="s">
        <v>68</v>
      </c>
      <c r="N149" s="159"/>
      <c r="O149" s="157">
        <v>25000</v>
      </c>
      <c r="P149" s="157"/>
      <c r="Q149" s="160">
        <f t="shared" si="58"/>
        <v>25000</v>
      </c>
      <c r="R149" s="157">
        <v>12500</v>
      </c>
      <c r="S149" s="161"/>
      <c r="T149" s="161">
        <v>12500</v>
      </c>
      <c r="U149" s="161"/>
      <c r="V149" s="161"/>
      <c r="W149" s="161"/>
      <c r="X149" s="161"/>
      <c r="Y149" s="160">
        <f t="shared" si="59"/>
        <v>25000</v>
      </c>
      <c r="Z149" s="162" t="s">
        <v>895</v>
      </c>
      <c r="AA149" s="162" t="s">
        <v>931</v>
      </c>
      <c r="AB149" s="162" t="s">
        <v>938</v>
      </c>
      <c r="AC149" s="163">
        <v>42278</v>
      </c>
      <c r="AD149" s="163">
        <v>42338</v>
      </c>
      <c r="AE149" s="211" t="s">
        <v>924</v>
      </c>
      <c r="AF149" s="191"/>
      <c r="AG149" s="166"/>
      <c r="AH149" s="166"/>
      <c r="AI149" s="166"/>
      <c r="AJ149" s="166"/>
      <c r="AK149" s="166"/>
      <c r="AL149" s="166"/>
      <c r="AM149" s="166"/>
      <c r="AN149" s="166"/>
      <c r="AO149" s="166"/>
      <c r="AP149" s="166">
        <v>6250</v>
      </c>
      <c r="AQ149" s="166">
        <v>6250</v>
      </c>
      <c r="AR149" s="166"/>
      <c r="AS149" s="167">
        <f t="shared" si="57"/>
        <v>12500</v>
      </c>
    </row>
    <row r="150" spans="1:46" hidden="1">
      <c r="A150" s="187"/>
      <c r="B150" s="323"/>
      <c r="C150" s="171"/>
      <c r="D150" s="171"/>
      <c r="E150" s="171"/>
      <c r="F150" s="171"/>
      <c r="G150" s="171"/>
      <c r="H150" s="171"/>
      <c r="I150" s="171"/>
      <c r="J150" s="173">
        <f>SUM(J131:J149)</f>
        <v>1191586.77</v>
      </c>
      <c r="K150" s="173">
        <f t="shared" ref="K150" si="60">SUM(K131:K149)</f>
        <v>697000</v>
      </c>
      <c r="L150" s="173">
        <f t="shared" ref="L150:N150" si="61">SUM(L141:L149)</f>
        <v>0</v>
      </c>
      <c r="M150" s="173">
        <f t="shared" si="61"/>
        <v>0</v>
      </c>
      <c r="N150" s="173">
        <f t="shared" si="61"/>
        <v>0</v>
      </c>
      <c r="O150" s="173">
        <f>SUM(O131:O149)</f>
        <v>727000</v>
      </c>
      <c r="P150" s="173">
        <f t="shared" ref="P150:AR150" si="62">SUM(P131:P149)</f>
        <v>1161586.77</v>
      </c>
      <c r="Q150" s="173">
        <f t="shared" si="62"/>
        <v>1888586.77</v>
      </c>
      <c r="R150" s="173">
        <f t="shared" si="62"/>
        <v>1402960.99</v>
      </c>
      <c r="S150" s="173">
        <f t="shared" si="62"/>
        <v>0</v>
      </c>
      <c r="T150" s="173">
        <f t="shared" si="62"/>
        <v>149500</v>
      </c>
      <c r="U150" s="173">
        <f t="shared" si="62"/>
        <v>0</v>
      </c>
      <c r="V150" s="173">
        <f t="shared" si="62"/>
        <v>0</v>
      </c>
      <c r="W150" s="173">
        <f t="shared" si="62"/>
        <v>0</v>
      </c>
      <c r="X150" s="173">
        <f t="shared" si="62"/>
        <v>336125.78</v>
      </c>
      <c r="Y150" s="173">
        <f t="shared" si="62"/>
        <v>1888586.77</v>
      </c>
      <c r="Z150" s="173">
        <f t="shared" si="62"/>
        <v>0</v>
      </c>
      <c r="AA150" s="173">
        <f t="shared" si="62"/>
        <v>0</v>
      </c>
      <c r="AB150" s="173">
        <f t="shared" si="62"/>
        <v>0</v>
      </c>
      <c r="AC150" s="173"/>
      <c r="AD150" s="173"/>
      <c r="AE150" s="173">
        <f t="shared" si="62"/>
        <v>0</v>
      </c>
      <c r="AF150" s="173">
        <f t="shared" si="62"/>
        <v>0</v>
      </c>
      <c r="AG150" s="173">
        <f t="shared" si="62"/>
        <v>21000</v>
      </c>
      <c r="AH150" s="173">
        <f t="shared" si="62"/>
        <v>44000</v>
      </c>
      <c r="AI150" s="173">
        <f t="shared" si="62"/>
        <v>88500</v>
      </c>
      <c r="AJ150" s="173">
        <f t="shared" si="62"/>
        <v>104250</v>
      </c>
      <c r="AK150" s="173">
        <f t="shared" si="62"/>
        <v>111250</v>
      </c>
      <c r="AL150" s="173">
        <f t="shared" si="62"/>
        <v>122124.22</v>
      </c>
      <c r="AM150" s="173">
        <f t="shared" si="62"/>
        <v>208750</v>
      </c>
      <c r="AN150" s="173">
        <f t="shared" si="62"/>
        <v>137750</v>
      </c>
      <c r="AO150" s="173">
        <f t="shared" si="62"/>
        <v>136250</v>
      </c>
      <c r="AP150" s="173">
        <f t="shared" si="62"/>
        <v>182500</v>
      </c>
      <c r="AQ150" s="173">
        <f t="shared" si="62"/>
        <v>138750</v>
      </c>
      <c r="AR150" s="173">
        <f t="shared" si="62"/>
        <v>107836.77</v>
      </c>
      <c r="AS150" s="173">
        <f>SUM(AS131:AS149)</f>
        <v>1402960.99</v>
      </c>
    </row>
    <row r="151" spans="1:46" ht="96" hidden="1" customHeight="1">
      <c r="A151" s="188" t="s">
        <v>952</v>
      </c>
      <c r="B151" s="169">
        <v>1</v>
      </c>
      <c r="C151" s="324" t="s">
        <v>953</v>
      </c>
      <c r="D151" s="190" t="s">
        <v>162</v>
      </c>
      <c r="E151" s="325" t="s">
        <v>954</v>
      </c>
      <c r="F151" s="155" t="s">
        <v>955</v>
      </c>
      <c r="G151" s="155" t="s">
        <v>956</v>
      </c>
      <c r="H151" s="325" t="s">
        <v>957</v>
      </c>
      <c r="I151" s="156" t="s">
        <v>958</v>
      </c>
      <c r="J151" s="157">
        <v>500000</v>
      </c>
      <c r="K151" s="157"/>
      <c r="L151" s="158" t="s">
        <v>959</v>
      </c>
      <c r="M151" s="159" t="s">
        <v>68</v>
      </c>
      <c r="N151" s="159"/>
      <c r="O151" s="157"/>
      <c r="P151" s="157">
        <v>500000</v>
      </c>
      <c r="Q151" s="160">
        <f>SUM(O151:P151)</f>
        <v>500000</v>
      </c>
      <c r="R151" s="161">
        <v>500000</v>
      </c>
      <c r="S151" s="161"/>
      <c r="T151" s="161"/>
      <c r="U151" s="161"/>
      <c r="V151" s="161"/>
      <c r="W151" s="161"/>
      <c r="X151" s="161"/>
      <c r="Y151" s="160">
        <f>SUM(R151:X151)</f>
        <v>500000</v>
      </c>
      <c r="Z151" s="162" t="s">
        <v>952</v>
      </c>
      <c r="AA151" s="162" t="s">
        <v>960</v>
      </c>
      <c r="AB151" s="162" t="s">
        <v>961</v>
      </c>
      <c r="AC151" s="163">
        <v>42095</v>
      </c>
      <c r="AD151" s="163">
        <v>42246</v>
      </c>
      <c r="AE151" s="211" t="s">
        <v>424</v>
      </c>
      <c r="AF151" s="191"/>
      <c r="AG151" s="166"/>
      <c r="AH151" s="166"/>
      <c r="AI151" s="166"/>
      <c r="AJ151" s="166"/>
      <c r="AK151" s="166"/>
      <c r="AL151" s="166"/>
      <c r="AM151" s="166"/>
      <c r="AN151" s="166">
        <v>100000</v>
      </c>
      <c r="AO151" s="166">
        <v>140000</v>
      </c>
      <c r="AP151" s="166">
        <v>130000</v>
      </c>
      <c r="AQ151" s="166">
        <v>130000</v>
      </c>
      <c r="AR151" s="166"/>
      <c r="AS151" s="167">
        <f>SUM(AG151:AR151)</f>
        <v>500000</v>
      </c>
    </row>
    <row r="152" spans="1:46" ht="102" hidden="1">
      <c r="A152" s="188" t="s">
        <v>952</v>
      </c>
      <c r="B152" s="169">
        <v>2</v>
      </c>
      <c r="C152" s="207" t="s">
        <v>962</v>
      </c>
      <c r="D152" s="190" t="s">
        <v>162</v>
      </c>
      <c r="E152" s="325" t="s">
        <v>963</v>
      </c>
      <c r="F152" s="155" t="s">
        <v>964</v>
      </c>
      <c r="G152" s="155" t="s">
        <v>965</v>
      </c>
      <c r="H152" s="325" t="s">
        <v>966</v>
      </c>
      <c r="I152" s="156" t="s">
        <v>967</v>
      </c>
      <c r="J152" s="157">
        <v>80000</v>
      </c>
      <c r="K152" s="157"/>
      <c r="L152" s="158" t="s">
        <v>968</v>
      </c>
      <c r="M152" s="159" t="s">
        <v>68</v>
      </c>
      <c r="N152" s="159"/>
      <c r="O152" s="157"/>
      <c r="P152" s="157">
        <v>80000</v>
      </c>
      <c r="Q152" s="160">
        <f>SUM(O152:P152)</f>
        <v>80000</v>
      </c>
      <c r="R152" s="161">
        <v>80000</v>
      </c>
      <c r="S152" s="161"/>
      <c r="T152" s="161"/>
      <c r="U152" s="161"/>
      <c r="V152" s="161"/>
      <c r="W152" s="161"/>
      <c r="X152" s="161"/>
      <c r="Y152" s="160">
        <f>SUM(R152:X152)</f>
        <v>80000</v>
      </c>
      <c r="Z152" s="162" t="s">
        <v>952</v>
      </c>
      <c r="AA152" s="162" t="s">
        <v>969</v>
      </c>
      <c r="AB152" s="162" t="s">
        <v>970</v>
      </c>
      <c r="AC152" s="163">
        <v>42156</v>
      </c>
      <c r="AD152" s="163" t="s">
        <v>971</v>
      </c>
      <c r="AE152" s="211" t="s">
        <v>424</v>
      </c>
      <c r="AF152" s="191"/>
      <c r="AG152" s="166"/>
      <c r="AH152" s="166"/>
      <c r="AI152" s="166"/>
      <c r="AJ152" s="166"/>
      <c r="AK152" s="166"/>
      <c r="AL152" s="166">
        <v>50000</v>
      </c>
      <c r="AM152" s="166">
        <v>30000</v>
      </c>
      <c r="AN152" s="166"/>
      <c r="AO152" s="166"/>
      <c r="AP152" s="166"/>
      <c r="AQ152" s="166"/>
      <c r="AR152" s="166"/>
      <c r="AS152" s="167">
        <f>SUM(AG152:AR152)</f>
        <v>80000</v>
      </c>
    </row>
    <row r="153" spans="1:46" ht="63.75" hidden="1">
      <c r="A153" s="326" t="s">
        <v>952</v>
      </c>
      <c r="B153" s="327">
        <v>3</v>
      </c>
      <c r="C153" s="328" t="s">
        <v>972</v>
      </c>
      <c r="D153" s="329" t="s">
        <v>162</v>
      </c>
      <c r="E153" s="330" t="s">
        <v>973</v>
      </c>
      <c r="F153" s="331" t="s">
        <v>974</v>
      </c>
      <c r="G153" s="332" t="s">
        <v>975</v>
      </c>
      <c r="H153" s="330" t="s">
        <v>976</v>
      </c>
      <c r="I153" s="333" t="s">
        <v>977</v>
      </c>
      <c r="J153" s="334">
        <v>100000</v>
      </c>
      <c r="K153" s="335"/>
      <c r="L153" s="336" t="s">
        <v>978</v>
      </c>
      <c r="M153" s="337" t="s">
        <v>68</v>
      </c>
      <c r="N153" s="337"/>
      <c r="O153" s="335"/>
      <c r="P153" s="335">
        <v>100000</v>
      </c>
      <c r="Q153" s="160">
        <f>SUM(O153:P153)</f>
        <v>100000</v>
      </c>
      <c r="R153" s="160">
        <v>100000</v>
      </c>
      <c r="S153" s="160"/>
      <c r="T153" s="160"/>
      <c r="U153" s="160"/>
      <c r="V153" s="160"/>
      <c r="W153" s="160"/>
      <c r="X153" s="160"/>
      <c r="Y153" s="160">
        <f>SUM(R153:X153)</f>
        <v>100000</v>
      </c>
      <c r="Z153" s="338" t="s">
        <v>952</v>
      </c>
      <c r="AA153" s="338" t="s">
        <v>969</v>
      </c>
      <c r="AB153" s="338" t="s">
        <v>970</v>
      </c>
      <c r="AC153" s="339">
        <v>42125</v>
      </c>
      <c r="AD153" s="339">
        <v>42247</v>
      </c>
      <c r="AE153" s="336" t="s">
        <v>424</v>
      </c>
      <c r="AF153" s="171"/>
      <c r="AG153" s="340"/>
      <c r="AH153" s="340"/>
      <c r="AI153" s="340"/>
      <c r="AJ153" s="340"/>
      <c r="AK153" s="340"/>
      <c r="AL153" s="340">
        <v>40000</v>
      </c>
      <c r="AM153" s="340">
        <v>25000</v>
      </c>
      <c r="AN153" s="340">
        <v>20000</v>
      </c>
      <c r="AO153" s="340">
        <v>15000</v>
      </c>
      <c r="AP153" s="340"/>
      <c r="AQ153" s="340"/>
      <c r="AR153" s="340"/>
      <c r="AS153" s="341">
        <f>SUM(AG153:AR153)</f>
        <v>100000</v>
      </c>
      <c r="AT153" s="342" t="s">
        <v>979</v>
      </c>
    </row>
    <row r="154" spans="1:46" ht="114.75" hidden="1">
      <c r="A154" s="326" t="s">
        <v>952</v>
      </c>
      <c r="B154" s="327">
        <v>4</v>
      </c>
      <c r="C154" s="227" t="s">
        <v>980</v>
      </c>
      <c r="D154" s="329" t="s">
        <v>162</v>
      </c>
      <c r="E154" s="330" t="s">
        <v>981</v>
      </c>
      <c r="F154" s="331" t="s">
        <v>982</v>
      </c>
      <c r="G154" s="332" t="s">
        <v>983</v>
      </c>
      <c r="H154" s="332" t="s">
        <v>984</v>
      </c>
      <c r="I154" s="330" t="s">
        <v>985</v>
      </c>
      <c r="J154" s="335">
        <v>24673.75</v>
      </c>
      <c r="K154" s="335"/>
      <c r="L154" s="336" t="s">
        <v>986</v>
      </c>
      <c r="M154" s="337" t="s">
        <v>68</v>
      </c>
      <c r="N154" s="337"/>
      <c r="O154" s="335"/>
      <c r="P154" s="335">
        <v>24673.75</v>
      </c>
      <c r="Q154" s="160">
        <f>SUM(O154:P154)</f>
        <v>24673.75</v>
      </c>
      <c r="R154" s="160">
        <v>24673.75</v>
      </c>
      <c r="S154" s="160"/>
      <c r="T154" s="160"/>
      <c r="U154" s="160"/>
      <c r="V154" s="160"/>
      <c r="W154" s="160"/>
      <c r="X154" s="160"/>
      <c r="Y154" s="160">
        <f>SUM(R154:X154)</f>
        <v>24673.75</v>
      </c>
      <c r="Z154" s="338" t="s">
        <v>952</v>
      </c>
      <c r="AA154" s="338" t="s">
        <v>969</v>
      </c>
      <c r="AB154" s="338" t="s">
        <v>970</v>
      </c>
      <c r="AC154" s="339">
        <v>42064</v>
      </c>
      <c r="AD154" s="339">
        <v>42155</v>
      </c>
      <c r="AE154" s="336" t="s">
        <v>424</v>
      </c>
      <c r="AF154" s="171"/>
      <c r="AG154" s="340"/>
      <c r="AH154" s="340"/>
      <c r="AI154" s="340"/>
      <c r="AJ154" s="340"/>
      <c r="AK154" s="340"/>
      <c r="AL154" s="340">
        <v>10000</v>
      </c>
      <c r="AM154" s="340">
        <v>10000</v>
      </c>
      <c r="AN154" s="340">
        <v>4673.75</v>
      </c>
      <c r="AO154" s="340"/>
      <c r="AP154" s="340"/>
      <c r="AQ154" s="340"/>
      <c r="AR154" s="340"/>
      <c r="AS154" s="341">
        <f>SUM(AG154:AR154)</f>
        <v>24673.75</v>
      </c>
      <c r="AT154" s="342"/>
    </row>
    <row r="155" spans="1:46" ht="63.75" hidden="1">
      <c r="A155" s="343" t="s">
        <v>952</v>
      </c>
      <c r="B155" s="169">
        <v>5</v>
      </c>
      <c r="C155" s="170" t="s">
        <v>987</v>
      </c>
      <c r="D155" s="273" t="s">
        <v>988</v>
      </c>
      <c r="E155" s="155" t="s">
        <v>989</v>
      </c>
      <c r="F155" s="155" t="s">
        <v>990</v>
      </c>
      <c r="G155" s="155" t="s">
        <v>991</v>
      </c>
      <c r="H155" s="155" t="s">
        <v>992</v>
      </c>
      <c r="I155" s="156" t="s">
        <v>993</v>
      </c>
      <c r="J155" s="157"/>
      <c r="K155" s="157">
        <v>278000</v>
      </c>
      <c r="L155" s="158" t="s">
        <v>994</v>
      </c>
      <c r="M155" s="159" t="s">
        <v>68</v>
      </c>
      <c r="N155" s="159"/>
      <c r="O155" s="157"/>
      <c r="P155" s="157">
        <v>278000</v>
      </c>
      <c r="Q155" s="160">
        <v>278000</v>
      </c>
      <c r="R155" s="161">
        <v>194600</v>
      </c>
      <c r="S155" s="161"/>
      <c r="T155" s="161">
        <v>83400</v>
      </c>
      <c r="U155" s="161"/>
      <c r="V155" s="161"/>
      <c r="W155" s="161"/>
      <c r="X155" s="161"/>
      <c r="Y155" s="160">
        <f t="shared" ref="Y155:Y194" si="63">SUM(R155:X155)</f>
        <v>278000</v>
      </c>
      <c r="Z155" s="162" t="s">
        <v>952</v>
      </c>
      <c r="AA155" s="162" t="s">
        <v>969</v>
      </c>
      <c r="AB155" s="162" t="s">
        <v>995</v>
      </c>
      <c r="AC155" s="163">
        <v>42095</v>
      </c>
      <c r="AD155" s="163">
        <v>42216</v>
      </c>
      <c r="AE155" s="211" t="s">
        <v>424</v>
      </c>
      <c r="AF155" s="191"/>
      <c r="AG155" s="166"/>
      <c r="AH155" s="166"/>
      <c r="AI155" s="166"/>
      <c r="AJ155" s="166"/>
      <c r="AK155" s="166"/>
      <c r="AL155" s="166"/>
      <c r="AM155" s="166">
        <v>70000</v>
      </c>
      <c r="AN155" s="166">
        <v>78000</v>
      </c>
      <c r="AO155" s="166">
        <v>70000</v>
      </c>
      <c r="AP155" s="166">
        <v>60000</v>
      </c>
      <c r="AQ155" s="166"/>
      <c r="AR155" s="166"/>
      <c r="AS155" s="167">
        <f t="shared" ref="AS155:AS182" si="64">SUM(AG155:AR155)</f>
        <v>278000</v>
      </c>
    </row>
    <row r="156" spans="1:46" ht="153" hidden="1">
      <c r="A156" s="343" t="s">
        <v>952</v>
      </c>
      <c r="B156" s="169">
        <v>6</v>
      </c>
      <c r="C156" s="344" t="s">
        <v>996</v>
      </c>
      <c r="D156" s="273" t="s">
        <v>988</v>
      </c>
      <c r="E156" s="345" t="s">
        <v>997</v>
      </c>
      <c r="F156" s="155" t="s">
        <v>998</v>
      </c>
      <c r="G156" s="345" t="s">
        <v>999</v>
      </c>
      <c r="H156" s="345" t="s">
        <v>1000</v>
      </c>
      <c r="I156" s="325" t="s">
        <v>1001</v>
      </c>
      <c r="J156" s="157"/>
      <c r="K156" s="157">
        <v>90000</v>
      </c>
      <c r="L156" s="158" t="s">
        <v>1002</v>
      </c>
      <c r="M156" s="159" t="s">
        <v>68</v>
      </c>
      <c r="N156" s="159"/>
      <c r="O156" s="157">
        <v>90000</v>
      </c>
      <c r="P156" s="157"/>
      <c r="Q156" s="160">
        <f>SUM(O156:P156)</f>
        <v>90000</v>
      </c>
      <c r="R156" s="161">
        <v>63000</v>
      </c>
      <c r="S156" s="161"/>
      <c r="T156" s="161">
        <v>27000</v>
      </c>
      <c r="U156" s="161"/>
      <c r="V156" s="161"/>
      <c r="W156" s="161"/>
      <c r="X156" s="161"/>
      <c r="Y156" s="160">
        <f t="shared" si="63"/>
        <v>90000</v>
      </c>
      <c r="Z156" s="162" t="s">
        <v>952</v>
      </c>
      <c r="AA156" s="162" t="s">
        <v>960</v>
      </c>
      <c r="AB156" s="162" t="s">
        <v>1003</v>
      </c>
      <c r="AC156" s="163">
        <v>42095</v>
      </c>
      <c r="AD156" s="163">
        <v>42216</v>
      </c>
      <c r="AE156" s="211" t="s">
        <v>424</v>
      </c>
      <c r="AF156" s="191"/>
      <c r="AG156" s="166"/>
      <c r="AH156" s="166"/>
      <c r="AI156" s="166"/>
      <c r="AJ156" s="166"/>
      <c r="AK156" s="166"/>
      <c r="AL156" s="166"/>
      <c r="AM156" s="166">
        <v>20000</v>
      </c>
      <c r="AN156" s="166">
        <v>25000</v>
      </c>
      <c r="AO156" s="166">
        <v>30000</v>
      </c>
      <c r="AP156" s="166">
        <v>15000</v>
      </c>
      <c r="AQ156" s="166"/>
      <c r="AR156" s="166"/>
      <c r="AS156" s="167">
        <f t="shared" si="64"/>
        <v>90000</v>
      </c>
    </row>
    <row r="157" spans="1:46" ht="89.25" hidden="1">
      <c r="A157" s="346" t="s">
        <v>952</v>
      </c>
      <c r="B157" s="169">
        <v>7</v>
      </c>
      <c r="C157" s="270" t="s">
        <v>1004</v>
      </c>
      <c r="D157" s="273" t="s">
        <v>1005</v>
      </c>
      <c r="E157" s="325" t="s">
        <v>1006</v>
      </c>
      <c r="F157" s="155" t="s">
        <v>1007</v>
      </c>
      <c r="G157" s="155" t="s">
        <v>1008</v>
      </c>
      <c r="H157" s="325" t="s">
        <v>1009</v>
      </c>
      <c r="I157" s="156" t="s">
        <v>1010</v>
      </c>
      <c r="J157" s="157"/>
      <c r="K157" s="157">
        <v>244713.19</v>
      </c>
      <c r="L157" s="158" t="s">
        <v>1011</v>
      </c>
      <c r="M157" s="159" t="s">
        <v>68</v>
      </c>
      <c r="N157" s="159"/>
      <c r="O157" s="157"/>
      <c r="P157" s="157">
        <v>99131.29</v>
      </c>
      <c r="Q157" s="160">
        <f t="shared" ref="Q157:Q195" si="65">SUM(O157:P157)</f>
        <v>99131.29</v>
      </c>
      <c r="R157" s="157">
        <v>25717.33</v>
      </c>
      <c r="S157" s="161"/>
      <c r="T157" s="157">
        <v>73413.956999999995</v>
      </c>
      <c r="U157" s="161"/>
      <c r="V157" s="161"/>
      <c r="W157" s="161"/>
      <c r="X157" s="161"/>
      <c r="Y157" s="160">
        <f t="shared" si="63"/>
        <v>99131.286999999997</v>
      </c>
      <c r="Z157" s="162" t="s">
        <v>952</v>
      </c>
      <c r="AA157" s="162" t="s">
        <v>969</v>
      </c>
      <c r="AB157" s="162" t="s">
        <v>1012</v>
      </c>
      <c r="AC157" s="163">
        <v>42095</v>
      </c>
      <c r="AD157" s="163">
        <v>42216</v>
      </c>
      <c r="AE157" s="211" t="s">
        <v>424</v>
      </c>
      <c r="AF157" s="191"/>
      <c r="AG157" s="166"/>
      <c r="AH157" s="166"/>
      <c r="AI157" s="166"/>
      <c r="AJ157" s="166"/>
      <c r="AK157" s="166"/>
      <c r="AL157" s="166"/>
      <c r="AM157" s="166"/>
      <c r="AN157" s="166">
        <v>99131.99</v>
      </c>
      <c r="AO157" s="166"/>
      <c r="AP157" s="166"/>
      <c r="AQ157" s="166"/>
      <c r="AR157" s="166"/>
      <c r="AS157" s="167">
        <f t="shared" si="64"/>
        <v>99131.99</v>
      </c>
    </row>
    <row r="158" spans="1:46" ht="153" hidden="1">
      <c r="A158" s="343" t="s">
        <v>952</v>
      </c>
      <c r="B158" s="169">
        <v>8</v>
      </c>
      <c r="C158" s="270" t="s">
        <v>1013</v>
      </c>
      <c r="D158" s="273" t="s">
        <v>1005</v>
      </c>
      <c r="E158" s="325" t="s">
        <v>1014</v>
      </c>
      <c r="F158" s="155" t="s">
        <v>1015</v>
      </c>
      <c r="G158" s="155" t="s">
        <v>1016</v>
      </c>
      <c r="H158" s="325" t="s">
        <v>1017</v>
      </c>
      <c r="I158" s="156" t="s">
        <v>1018</v>
      </c>
      <c r="J158" s="157"/>
      <c r="K158" s="157">
        <v>125000</v>
      </c>
      <c r="L158" s="158" t="s">
        <v>1019</v>
      </c>
      <c r="M158" s="159" t="s">
        <v>68</v>
      </c>
      <c r="N158" s="159"/>
      <c r="O158" s="157">
        <v>125000</v>
      </c>
      <c r="P158" s="157"/>
      <c r="Q158" s="160">
        <f t="shared" si="65"/>
        <v>125000</v>
      </c>
      <c r="R158" s="157">
        <v>87500</v>
      </c>
      <c r="S158" s="161"/>
      <c r="T158" s="157">
        <v>37500</v>
      </c>
      <c r="U158" s="161"/>
      <c r="V158" s="161"/>
      <c r="W158" s="161"/>
      <c r="X158" s="161"/>
      <c r="Y158" s="160">
        <f t="shared" si="63"/>
        <v>125000</v>
      </c>
      <c r="Z158" s="162" t="s">
        <v>952</v>
      </c>
      <c r="AA158" s="162" t="s">
        <v>969</v>
      </c>
      <c r="AB158" s="162" t="s">
        <v>1012</v>
      </c>
      <c r="AC158" s="163">
        <v>42036</v>
      </c>
      <c r="AD158" s="163">
        <v>42154</v>
      </c>
      <c r="AE158" s="211" t="s">
        <v>424</v>
      </c>
      <c r="AF158" s="191"/>
      <c r="AG158" s="166"/>
      <c r="AH158" s="166"/>
      <c r="AI158" s="166"/>
      <c r="AJ158" s="166"/>
      <c r="AK158" s="166"/>
      <c r="AL158" s="166"/>
      <c r="AM158" s="166"/>
      <c r="AN158" s="166">
        <v>31250</v>
      </c>
      <c r="AO158" s="166">
        <v>31250</v>
      </c>
      <c r="AP158" s="166">
        <v>31250</v>
      </c>
      <c r="AQ158" s="166">
        <v>31250</v>
      </c>
      <c r="AR158" s="166"/>
      <c r="AS158" s="167">
        <f t="shared" si="64"/>
        <v>125000</v>
      </c>
    </row>
    <row r="159" spans="1:46" ht="102" hidden="1">
      <c r="A159" s="346" t="s">
        <v>952</v>
      </c>
      <c r="B159" s="169">
        <v>9</v>
      </c>
      <c r="C159" s="270" t="s">
        <v>1020</v>
      </c>
      <c r="D159" s="273" t="s">
        <v>1021</v>
      </c>
      <c r="E159" s="325" t="s">
        <v>1022</v>
      </c>
      <c r="F159" s="155" t="s">
        <v>1023</v>
      </c>
      <c r="G159" s="155" t="s">
        <v>1024</v>
      </c>
      <c r="H159" s="325" t="s">
        <v>1025</v>
      </c>
      <c r="I159" s="156" t="s">
        <v>1026</v>
      </c>
      <c r="J159" s="157"/>
      <c r="K159" s="157">
        <v>100000</v>
      </c>
      <c r="L159" s="158" t="s">
        <v>1027</v>
      </c>
      <c r="M159" s="159" t="s">
        <v>68</v>
      </c>
      <c r="N159" s="159"/>
      <c r="O159" s="157"/>
      <c r="P159" s="157">
        <v>40509.17</v>
      </c>
      <c r="Q159" s="160">
        <f t="shared" si="65"/>
        <v>40509.17</v>
      </c>
      <c r="R159" s="157">
        <v>10509.17</v>
      </c>
      <c r="S159" s="161"/>
      <c r="T159" s="157">
        <v>30000</v>
      </c>
      <c r="U159" s="161"/>
      <c r="V159" s="161"/>
      <c r="W159" s="161"/>
      <c r="X159" s="161"/>
      <c r="Y159" s="160">
        <f t="shared" si="63"/>
        <v>40509.17</v>
      </c>
      <c r="Z159" s="162" t="s">
        <v>952</v>
      </c>
      <c r="AA159" s="162" t="s">
        <v>969</v>
      </c>
      <c r="AB159" s="162" t="s">
        <v>1012</v>
      </c>
      <c r="AC159" s="163">
        <v>42125</v>
      </c>
      <c r="AD159" s="163">
        <v>42246</v>
      </c>
      <c r="AE159" s="211" t="s">
        <v>368</v>
      </c>
      <c r="AF159" s="191"/>
      <c r="AG159" s="166"/>
      <c r="AH159" s="166"/>
      <c r="AI159" s="166"/>
      <c r="AJ159" s="166"/>
      <c r="AK159" s="166"/>
      <c r="AL159" s="166"/>
      <c r="AM159" s="166"/>
      <c r="AN159" s="166">
        <f>+Y159</f>
        <v>40509.17</v>
      </c>
      <c r="AO159" s="166"/>
      <c r="AP159" s="166"/>
      <c r="AQ159" s="166"/>
      <c r="AR159" s="166"/>
      <c r="AS159" s="167">
        <f t="shared" si="64"/>
        <v>40509.17</v>
      </c>
    </row>
    <row r="160" spans="1:46" ht="102" hidden="1">
      <c r="A160" s="343" t="s">
        <v>952</v>
      </c>
      <c r="B160" s="169">
        <v>10</v>
      </c>
      <c r="C160" s="270" t="s">
        <v>1028</v>
      </c>
      <c r="D160" s="273" t="s">
        <v>1021</v>
      </c>
      <c r="E160" s="325" t="s">
        <v>1029</v>
      </c>
      <c r="F160" s="155" t="s">
        <v>1030</v>
      </c>
      <c r="G160" s="155" t="s">
        <v>1031</v>
      </c>
      <c r="H160" s="325" t="s">
        <v>1032</v>
      </c>
      <c r="I160" s="156" t="s">
        <v>1033</v>
      </c>
      <c r="J160" s="157"/>
      <c r="K160" s="157">
        <v>15000</v>
      </c>
      <c r="L160" s="158" t="s">
        <v>1034</v>
      </c>
      <c r="M160" s="159" t="s">
        <v>68</v>
      </c>
      <c r="N160" s="159"/>
      <c r="O160" s="157">
        <v>15000</v>
      </c>
      <c r="P160" s="157"/>
      <c r="Q160" s="160">
        <f t="shared" si="65"/>
        <v>15000</v>
      </c>
      <c r="R160" s="157">
        <v>10500</v>
      </c>
      <c r="S160" s="161"/>
      <c r="T160" s="157">
        <v>4500</v>
      </c>
      <c r="U160" s="161"/>
      <c r="V160" s="161"/>
      <c r="W160" s="161"/>
      <c r="X160" s="161"/>
      <c r="Y160" s="160">
        <f t="shared" si="63"/>
        <v>15000</v>
      </c>
      <c r="Z160" s="162" t="s">
        <v>952</v>
      </c>
      <c r="AA160" s="162" t="s">
        <v>960</v>
      </c>
      <c r="AB160" s="162" t="s">
        <v>1003</v>
      </c>
      <c r="AC160" s="163">
        <v>42036</v>
      </c>
      <c r="AD160" s="163">
        <v>42124</v>
      </c>
      <c r="AE160" s="211" t="s">
        <v>424</v>
      </c>
      <c r="AF160" s="191"/>
      <c r="AG160" s="166"/>
      <c r="AH160" s="166"/>
      <c r="AI160" s="166"/>
      <c r="AJ160" s="166"/>
      <c r="AK160" s="166"/>
      <c r="AL160" s="166"/>
      <c r="AM160" s="166"/>
      <c r="AN160" s="166">
        <v>5000</v>
      </c>
      <c r="AO160" s="166">
        <v>5000</v>
      </c>
      <c r="AP160" s="166">
        <v>5000</v>
      </c>
      <c r="AQ160" s="166"/>
      <c r="AR160" s="166"/>
      <c r="AS160" s="167">
        <f t="shared" si="64"/>
        <v>15000</v>
      </c>
    </row>
    <row r="161" spans="1:45" ht="127.5" hidden="1">
      <c r="A161" s="346" t="s">
        <v>952</v>
      </c>
      <c r="B161" s="169">
        <v>11</v>
      </c>
      <c r="C161" s="270" t="s">
        <v>1035</v>
      </c>
      <c r="D161" s="273" t="s">
        <v>1036</v>
      </c>
      <c r="E161" s="325" t="s">
        <v>1037</v>
      </c>
      <c r="F161" s="155" t="s">
        <v>1038</v>
      </c>
      <c r="G161" s="155" t="s">
        <v>1039</v>
      </c>
      <c r="H161" s="325" t="s">
        <v>1040</v>
      </c>
      <c r="I161" s="156" t="s">
        <v>1041</v>
      </c>
      <c r="J161" s="157"/>
      <c r="K161" s="157">
        <v>264000</v>
      </c>
      <c r="L161" s="158" t="s">
        <v>1042</v>
      </c>
      <c r="M161" s="159" t="s">
        <v>68</v>
      </c>
      <c r="N161" s="159"/>
      <c r="O161" s="157"/>
      <c r="P161" s="157">
        <v>27744.22</v>
      </c>
      <c r="Q161" s="160">
        <f t="shared" si="65"/>
        <v>27744.22</v>
      </c>
      <c r="R161" s="157">
        <v>27744.22</v>
      </c>
      <c r="S161" s="161"/>
      <c r="T161" s="157">
        <v>79200</v>
      </c>
      <c r="U161" s="161"/>
      <c r="V161" s="161"/>
      <c r="W161" s="161"/>
      <c r="X161" s="161"/>
      <c r="Y161" s="160">
        <f t="shared" si="63"/>
        <v>106944.22</v>
      </c>
      <c r="Z161" s="162" t="s">
        <v>952</v>
      </c>
      <c r="AA161" s="162" t="s">
        <v>969</v>
      </c>
      <c r="AB161" s="162" t="s">
        <v>1012</v>
      </c>
      <c r="AC161" s="163">
        <v>42125</v>
      </c>
      <c r="AD161" s="163">
        <v>42246</v>
      </c>
      <c r="AE161" s="211" t="s">
        <v>424</v>
      </c>
      <c r="AF161" s="191"/>
      <c r="AG161" s="166"/>
      <c r="AH161" s="166"/>
      <c r="AI161" s="166"/>
      <c r="AJ161" s="166"/>
      <c r="AK161" s="166"/>
      <c r="AL161" s="166"/>
      <c r="AM161" s="166"/>
      <c r="AN161" s="166">
        <f>+Y161</f>
        <v>106944.22</v>
      </c>
      <c r="AO161" s="166"/>
      <c r="AP161" s="166"/>
      <c r="AQ161" s="166"/>
      <c r="AR161" s="166"/>
      <c r="AS161" s="167">
        <f t="shared" si="64"/>
        <v>106944.22</v>
      </c>
    </row>
    <row r="162" spans="1:45" ht="153" hidden="1">
      <c r="A162" s="343" t="s">
        <v>952</v>
      </c>
      <c r="B162" s="169">
        <v>12</v>
      </c>
      <c r="C162" s="207" t="s">
        <v>1043</v>
      </c>
      <c r="D162" s="220" t="s">
        <v>1036</v>
      </c>
      <c r="E162" s="325" t="s">
        <v>1044</v>
      </c>
      <c r="F162" s="155" t="s">
        <v>1045</v>
      </c>
      <c r="G162" s="155" t="s">
        <v>1046</v>
      </c>
      <c r="H162" s="325" t="s">
        <v>1047</v>
      </c>
      <c r="I162" s="156" t="s">
        <v>1048</v>
      </c>
      <c r="J162" s="157"/>
      <c r="K162" s="157">
        <v>60000</v>
      </c>
      <c r="L162" s="158" t="s">
        <v>1049</v>
      </c>
      <c r="M162" s="159" t="s">
        <v>68</v>
      </c>
      <c r="N162" s="159"/>
      <c r="O162" s="157">
        <v>60000</v>
      </c>
      <c r="P162" s="157"/>
      <c r="Q162" s="160">
        <f t="shared" si="65"/>
        <v>60000</v>
      </c>
      <c r="R162" s="157">
        <v>42000</v>
      </c>
      <c r="S162" s="161"/>
      <c r="T162" s="157">
        <v>18000</v>
      </c>
      <c r="U162" s="161"/>
      <c r="V162" s="161"/>
      <c r="W162" s="161"/>
      <c r="X162" s="161"/>
      <c r="Y162" s="160">
        <f t="shared" si="63"/>
        <v>60000</v>
      </c>
      <c r="Z162" s="162" t="s">
        <v>952</v>
      </c>
      <c r="AA162" s="162" t="s">
        <v>960</v>
      </c>
      <c r="AB162" s="162" t="s">
        <v>1003</v>
      </c>
      <c r="AC162" s="163">
        <v>42036</v>
      </c>
      <c r="AD162" s="163">
        <v>42124</v>
      </c>
      <c r="AE162" s="211" t="s">
        <v>424</v>
      </c>
      <c r="AF162" s="191"/>
      <c r="AG162" s="166"/>
      <c r="AH162" s="166"/>
      <c r="AI162" s="166"/>
      <c r="AJ162" s="166"/>
      <c r="AK162" s="166"/>
      <c r="AL162" s="166"/>
      <c r="AM162" s="166"/>
      <c r="AN162" s="166">
        <v>15000</v>
      </c>
      <c r="AO162" s="166">
        <v>15000</v>
      </c>
      <c r="AP162" s="166">
        <v>15000</v>
      </c>
      <c r="AQ162" s="166">
        <v>15000</v>
      </c>
      <c r="AR162" s="166"/>
      <c r="AS162" s="167">
        <f t="shared" si="64"/>
        <v>60000</v>
      </c>
    </row>
    <row r="163" spans="1:45" ht="102" hidden="1">
      <c r="A163" s="343" t="s">
        <v>952</v>
      </c>
      <c r="B163" s="169">
        <v>13</v>
      </c>
      <c r="C163" s="207" t="s">
        <v>1050</v>
      </c>
      <c r="D163" s="220" t="s">
        <v>1036</v>
      </c>
      <c r="E163" s="325" t="s">
        <v>1051</v>
      </c>
      <c r="F163" s="155" t="s">
        <v>1052</v>
      </c>
      <c r="G163" s="155" t="s">
        <v>1053</v>
      </c>
      <c r="H163" s="325" t="s">
        <v>1054</v>
      </c>
      <c r="I163" s="156" t="s">
        <v>1055</v>
      </c>
      <c r="J163" s="157"/>
      <c r="K163" s="157">
        <v>40000</v>
      </c>
      <c r="L163" s="158" t="s">
        <v>1056</v>
      </c>
      <c r="M163" s="159" t="s">
        <v>68</v>
      </c>
      <c r="N163" s="159"/>
      <c r="O163" s="157"/>
      <c r="P163" s="157">
        <v>40000</v>
      </c>
      <c r="Q163" s="160">
        <f t="shared" si="65"/>
        <v>40000</v>
      </c>
      <c r="R163" s="157">
        <v>28000</v>
      </c>
      <c r="S163" s="161"/>
      <c r="T163" s="157">
        <v>12000</v>
      </c>
      <c r="U163" s="161"/>
      <c r="V163" s="161"/>
      <c r="W163" s="161"/>
      <c r="X163" s="161"/>
      <c r="Y163" s="160">
        <f t="shared" si="63"/>
        <v>40000</v>
      </c>
      <c r="Z163" s="162" t="s">
        <v>952</v>
      </c>
      <c r="AA163" s="162" t="s">
        <v>960</v>
      </c>
      <c r="AB163" s="162" t="s">
        <v>1003</v>
      </c>
      <c r="AC163" s="163">
        <v>42186</v>
      </c>
      <c r="AD163" s="163">
        <v>42277</v>
      </c>
      <c r="AE163" s="211" t="s">
        <v>424</v>
      </c>
      <c r="AF163" s="191"/>
      <c r="AG163" s="166"/>
      <c r="AH163" s="166"/>
      <c r="AI163" s="166"/>
      <c r="AJ163" s="166"/>
      <c r="AK163" s="166"/>
      <c r="AL163" s="166"/>
      <c r="AM163" s="166"/>
      <c r="AN163" s="166"/>
      <c r="AO163" s="166"/>
      <c r="AP163" s="166">
        <v>20000</v>
      </c>
      <c r="AQ163" s="166">
        <v>10000</v>
      </c>
      <c r="AR163" s="166">
        <v>10000</v>
      </c>
      <c r="AS163" s="167">
        <f>SUM(AG163:AR163)</f>
        <v>40000</v>
      </c>
    </row>
    <row r="164" spans="1:45" ht="127.5" hidden="1">
      <c r="A164" s="343" t="s">
        <v>952</v>
      </c>
      <c r="B164" s="169">
        <v>14</v>
      </c>
      <c r="C164" s="156" t="s">
        <v>1057</v>
      </c>
      <c r="D164" s="273" t="s">
        <v>650</v>
      </c>
      <c r="E164" s="155" t="s">
        <v>1058</v>
      </c>
      <c r="F164" s="155" t="s">
        <v>1059</v>
      </c>
      <c r="G164" s="345" t="s">
        <v>999</v>
      </c>
      <c r="H164" s="155" t="s">
        <v>1060</v>
      </c>
      <c r="I164" s="325" t="s">
        <v>1061</v>
      </c>
      <c r="J164" s="157"/>
      <c r="K164" s="157">
        <v>30000</v>
      </c>
      <c r="L164" s="158" t="s">
        <v>1062</v>
      </c>
      <c r="M164" s="159" t="s">
        <v>68</v>
      </c>
      <c r="N164" s="159"/>
      <c r="O164" s="157">
        <v>30000</v>
      </c>
      <c r="P164" s="157"/>
      <c r="Q164" s="160">
        <f t="shared" si="65"/>
        <v>30000</v>
      </c>
      <c r="R164" s="161">
        <v>21000</v>
      </c>
      <c r="S164" s="161"/>
      <c r="T164" s="161">
        <v>9000</v>
      </c>
      <c r="U164" s="161"/>
      <c r="V164" s="161"/>
      <c r="W164" s="161"/>
      <c r="X164" s="161"/>
      <c r="Y164" s="160">
        <f t="shared" si="63"/>
        <v>30000</v>
      </c>
      <c r="Z164" s="162" t="s">
        <v>952</v>
      </c>
      <c r="AA164" s="162" t="s">
        <v>960</v>
      </c>
      <c r="AB164" s="162" t="s">
        <v>1003</v>
      </c>
      <c r="AC164" s="163">
        <v>41699</v>
      </c>
      <c r="AD164" s="163">
        <v>42155</v>
      </c>
      <c r="AE164" s="211" t="s">
        <v>424</v>
      </c>
      <c r="AF164" s="191"/>
      <c r="AG164" s="166"/>
      <c r="AH164" s="166"/>
      <c r="AI164" s="166"/>
      <c r="AJ164" s="166"/>
      <c r="AK164" s="166"/>
      <c r="AL164" s="166"/>
      <c r="AM164" s="166">
        <v>10000</v>
      </c>
      <c r="AN164" s="166">
        <v>15000</v>
      </c>
      <c r="AO164" s="166">
        <v>5000</v>
      </c>
      <c r="AP164" s="166"/>
      <c r="AQ164" s="166"/>
      <c r="AR164" s="166"/>
      <c r="AS164" s="167">
        <f t="shared" si="64"/>
        <v>30000</v>
      </c>
    </row>
    <row r="165" spans="1:45" ht="114.75" hidden="1">
      <c r="A165" s="343" t="s">
        <v>952</v>
      </c>
      <c r="B165" s="169">
        <v>15</v>
      </c>
      <c r="C165" s="156" t="s">
        <v>1063</v>
      </c>
      <c r="D165" s="273" t="s">
        <v>650</v>
      </c>
      <c r="E165" s="155" t="s">
        <v>1064</v>
      </c>
      <c r="F165" s="155" t="s">
        <v>1065</v>
      </c>
      <c r="G165" s="345" t="s">
        <v>999</v>
      </c>
      <c r="H165" s="155" t="s">
        <v>1060</v>
      </c>
      <c r="I165" s="325" t="s">
        <v>1066</v>
      </c>
      <c r="J165" s="157"/>
      <c r="K165" s="157">
        <v>60000</v>
      </c>
      <c r="L165" s="158" t="s">
        <v>664</v>
      </c>
      <c r="M165" s="159" t="s">
        <v>68</v>
      </c>
      <c r="N165" s="159"/>
      <c r="O165" s="157">
        <v>60000</v>
      </c>
      <c r="P165" s="157"/>
      <c r="Q165" s="160">
        <f t="shared" si="65"/>
        <v>60000</v>
      </c>
      <c r="R165" s="161">
        <v>42000</v>
      </c>
      <c r="S165" s="161"/>
      <c r="T165" s="161">
        <v>18000</v>
      </c>
      <c r="U165" s="161"/>
      <c r="V165" s="161"/>
      <c r="W165" s="161"/>
      <c r="X165" s="161"/>
      <c r="Y165" s="160">
        <f t="shared" si="63"/>
        <v>60000</v>
      </c>
      <c r="Z165" s="162" t="s">
        <v>952</v>
      </c>
      <c r="AA165" s="162" t="s">
        <v>960</v>
      </c>
      <c r="AB165" s="162" t="s">
        <v>1003</v>
      </c>
      <c r="AC165" s="163">
        <v>42125</v>
      </c>
      <c r="AD165" s="163">
        <v>42247</v>
      </c>
      <c r="AE165" s="211" t="s">
        <v>424</v>
      </c>
      <c r="AF165" s="191"/>
      <c r="AG165" s="166"/>
      <c r="AH165" s="166"/>
      <c r="AI165" s="166"/>
      <c r="AJ165" s="166"/>
      <c r="AK165" s="166"/>
      <c r="AL165" s="166"/>
      <c r="AM165" s="166">
        <v>20000</v>
      </c>
      <c r="AN165" s="166">
        <v>30000</v>
      </c>
      <c r="AO165" s="166">
        <v>10000</v>
      </c>
      <c r="AP165" s="166"/>
      <c r="AQ165" s="166"/>
      <c r="AR165" s="166"/>
      <c r="AS165" s="167">
        <f t="shared" si="64"/>
        <v>60000</v>
      </c>
    </row>
    <row r="166" spans="1:45" ht="102" hidden="1">
      <c r="A166" s="343" t="s">
        <v>952</v>
      </c>
      <c r="B166" s="169">
        <v>16</v>
      </c>
      <c r="C166" s="156" t="s">
        <v>1067</v>
      </c>
      <c r="D166" s="273" t="s">
        <v>650</v>
      </c>
      <c r="E166" s="155" t="s">
        <v>1068</v>
      </c>
      <c r="F166" s="155" t="s">
        <v>1069</v>
      </c>
      <c r="G166" s="345" t="s">
        <v>1070</v>
      </c>
      <c r="H166" s="155" t="s">
        <v>1071</v>
      </c>
      <c r="I166" s="325" t="s">
        <v>1072</v>
      </c>
      <c r="J166" s="157"/>
      <c r="K166" s="157">
        <v>30000</v>
      </c>
      <c r="L166" s="158" t="s">
        <v>1073</v>
      </c>
      <c r="M166" s="159" t="s">
        <v>68</v>
      </c>
      <c r="N166" s="159"/>
      <c r="O166" s="157">
        <v>30000</v>
      </c>
      <c r="P166" s="157"/>
      <c r="Q166" s="160">
        <f t="shared" si="65"/>
        <v>30000</v>
      </c>
      <c r="R166" s="161">
        <v>21000</v>
      </c>
      <c r="S166" s="161"/>
      <c r="T166" s="161">
        <v>9000</v>
      </c>
      <c r="U166" s="161"/>
      <c r="V166" s="161"/>
      <c r="W166" s="161"/>
      <c r="X166" s="161"/>
      <c r="Y166" s="160">
        <f t="shared" si="63"/>
        <v>30000</v>
      </c>
      <c r="Z166" s="162" t="s">
        <v>952</v>
      </c>
      <c r="AA166" s="162" t="s">
        <v>960</v>
      </c>
      <c r="AB166" s="162" t="s">
        <v>1003</v>
      </c>
      <c r="AC166" s="163">
        <v>42125</v>
      </c>
      <c r="AD166" s="163">
        <v>42247</v>
      </c>
      <c r="AE166" s="211" t="s">
        <v>424</v>
      </c>
      <c r="AF166" s="191"/>
      <c r="AG166" s="166"/>
      <c r="AH166" s="166"/>
      <c r="AI166" s="166"/>
      <c r="AJ166" s="166"/>
      <c r="AK166" s="166"/>
      <c r="AL166" s="166"/>
      <c r="AM166" s="166">
        <v>10000</v>
      </c>
      <c r="AN166" s="166">
        <v>10000</v>
      </c>
      <c r="AO166" s="166">
        <v>10000</v>
      </c>
      <c r="AP166" s="166"/>
      <c r="AQ166" s="166"/>
      <c r="AR166" s="166"/>
      <c r="AS166" s="167">
        <f t="shared" si="64"/>
        <v>30000</v>
      </c>
    </row>
    <row r="167" spans="1:45" ht="102" hidden="1">
      <c r="A167" s="343" t="s">
        <v>952</v>
      </c>
      <c r="B167" s="169">
        <v>17</v>
      </c>
      <c r="C167" s="156" t="s">
        <v>1074</v>
      </c>
      <c r="D167" s="273" t="s">
        <v>650</v>
      </c>
      <c r="E167" s="155" t="s">
        <v>1075</v>
      </c>
      <c r="F167" s="155" t="s">
        <v>1076</v>
      </c>
      <c r="G167" s="155" t="s">
        <v>1077</v>
      </c>
      <c r="H167" s="155" t="s">
        <v>1078</v>
      </c>
      <c r="I167" s="156" t="s">
        <v>1079</v>
      </c>
      <c r="J167" s="157"/>
      <c r="K167" s="157">
        <v>40000</v>
      </c>
      <c r="L167" s="158" t="s">
        <v>1080</v>
      </c>
      <c r="M167" s="159" t="s">
        <v>68</v>
      </c>
      <c r="N167" s="159"/>
      <c r="O167" s="157"/>
      <c r="P167" s="157">
        <v>40000</v>
      </c>
      <c r="Q167" s="160">
        <f t="shared" si="65"/>
        <v>40000</v>
      </c>
      <c r="R167" s="161">
        <v>28000</v>
      </c>
      <c r="S167" s="161"/>
      <c r="T167" s="161">
        <v>12000</v>
      </c>
      <c r="U167" s="161"/>
      <c r="V167" s="161"/>
      <c r="W167" s="161"/>
      <c r="X167" s="161"/>
      <c r="Y167" s="160">
        <f t="shared" si="63"/>
        <v>40000</v>
      </c>
      <c r="Z167" s="162" t="s">
        <v>952</v>
      </c>
      <c r="AA167" s="162" t="s">
        <v>960</v>
      </c>
      <c r="AB167" s="162" t="s">
        <v>1003</v>
      </c>
      <c r="AC167" s="163">
        <v>42309</v>
      </c>
      <c r="AD167" s="163">
        <v>42369</v>
      </c>
      <c r="AE167" s="211" t="s">
        <v>424</v>
      </c>
      <c r="AF167" s="191"/>
      <c r="AG167" s="166"/>
      <c r="AH167" s="166"/>
      <c r="AI167" s="166"/>
      <c r="AJ167" s="166"/>
      <c r="AK167" s="166"/>
      <c r="AL167" s="166"/>
      <c r="AM167" s="166"/>
      <c r="AN167" s="166"/>
      <c r="AO167" s="166"/>
      <c r="AP167" s="166"/>
      <c r="AQ167" s="166">
        <v>20000</v>
      </c>
      <c r="AR167" s="166">
        <v>20000</v>
      </c>
      <c r="AS167" s="167">
        <f t="shared" si="64"/>
        <v>40000</v>
      </c>
    </row>
    <row r="168" spans="1:45" ht="108.75" hidden="1" customHeight="1">
      <c r="A168" s="343" t="s">
        <v>952</v>
      </c>
      <c r="B168" s="169">
        <v>18</v>
      </c>
      <c r="C168" s="156" t="s">
        <v>1081</v>
      </c>
      <c r="D168" s="273" t="s">
        <v>650</v>
      </c>
      <c r="E168" s="155" t="s">
        <v>1082</v>
      </c>
      <c r="F168" s="155" t="s">
        <v>1083</v>
      </c>
      <c r="G168" s="155" t="s">
        <v>1084</v>
      </c>
      <c r="H168" s="155" t="s">
        <v>1085</v>
      </c>
      <c r="I168" s="156" t="s">
        <v>1086</v>
      </c>
      <c r="J168" s="157"/>
      <c r="K168" s="157">
        <v>80000</v>
      </c>
      <c r="L168" s="158" t="s">
        <v>664</v>
      </c>
      <c r="M168" s="159" t="s">
        <v>68</v>
      </c>
      <c r="N168" s="159"/>
      <c r="O168" s="157"/>
      <c r="P168" s="157">
        <v>80000</v>
      </c>
      <c r="Q168" s="160">
        <f t="shared" si="65"/>
        <v>80000</v>
      </c>
      <c r="R168" s="161">
        <v>56000</v>
      </c>
      <c r="S168" s="161"/>
      <c r="T168" s="161">
        <v>24000</v>
      </c>
      <c r="U168" s="161"/>
      <c r="V168" s="161"/>
      <c r="W168" s="161"/>
      <c r="X168" s="161"/>
      <c r="Y168" s="160">
        <f t="shared" si="63"/>
        <v>80000</v>
      </c>
      <c r="Z168" s="162" t="s">
        <v>952</v>
      </c>
      <c r="AA168" s="162" t="s">
        <v>960</v>
      </c>
      <c r="AB168" s="162" t="s">
        <v>1003</v>
      </c>
      <c r="AC168" s="163">
        <v>42278</v>
      </c>
      <c r="AD168" s="163">
        <v>42369</v>
      </c>
      <c r="AE168" s="211" t="s">
        <v>424</v>
      </c>
      <c r="AF168" s="191"/>
      <c r="AG168" s="166"/>
      <c r="AH168" s="166"/>
      <c r="AI168" s="166"/>
      <c r="AJ168" s="166"/>
      <c r="AK168" s="166"/>
      <c r="AL168" s="166"/>
      <c r="AM168" s="166"/>
      <c r="AN168" s="166"/>
      <c r="AO168" s="166"/>
      <c r="AP168" s="166">
        <v>30000</v>
      </c>
      <c r="AQ168" s="166">
        <v>30000</v>
      </c>
      <c r="AR168" s="166">
        <v>20000</v>
      </c>
      <c r="AS168" s="167">
        <f t="shared" si="64"/>
        <v>80000</v>
      </c>
    </row>
    <row r="169" spans="1:45" ht="102" hidden="1">
      <c r="A169" s="346" t="s">
        <v>952</v>
      </c>
      <c r="B169" s="169">
        <v>19</v>
      </c>
      <c r="C169" s="270" t="s">
        <v>1087</v>
      </c>
      <c r="D169" s="273" t="s">
        <v>658</v>
      </c>
      <c r="E169" s="325" t="s">
        <v>1088</v>
      </c>
      <c r="F169" s="155" t="s">
        <v>1089</v>
      </c>
      <c r="G169" s="155" t="s">
        <v>1090</v>
      </c>
      <c r="H169" s="325" t="s">
        <v>1091</v>
      </c>
      <c r="I169" s="156" t="s">
        <v>1092</v>
      </c>
      <c r="J169" s="157"/>
      <c r="K169" s="157">
        <v>50000</v>
      </c>
      <c r="L169" s="158" t="s">
        <v>1093</v>
      </c>
      <c r="M169" s="159" t="s">
        <v>68</v>
      </c>
      <c r="N169" s="159"/>
      <c r="O169" s="157"/>
      <c r="P169" s="157">
        <v>20254.59</v>
      </c>
      <c r="Q169" s="160">
        <f t="shared" si="65"/>
        <v>20254.59</v>
      </c>
      <c r="R169" s="157">
        <v>5254.59</v>
      </c>
      <c r="S169" s="161"/>
      <c r="T169" s="157">
        <v>15000</v>
      </c>
      <c r="U169" s="161"/>
      <c r="V169" s="161"/>
      <c r="W169" s="161"/>
      <c r="X169" s="161"/>
      <c r="Y169" s="160">
        <f t="shared" si="63"/>
        <v>20254.59</v>
      </c>
      <c r="Z169" s="162" t="s">
        <v>952</v>
      </c>
      <c r="AA169" s="162" t="s">
        <v>960</v>
      </c>
      <c r="AB169" s="162" t="s">
        <v>1003</v>
      </c>
      <c r="AC169" s="163">
        <v>42125</v>
      </c>
      <c r="AD169" s="163">
        <v>42215</v>
      </c>
      <c r="AE169" s="211" t="s">
        <v>424</v>
      </c>
      <c r="AF169" s="191"/>
      <c r="AG169" s="166"/>
      <c r="AH169" s="166"/>
      <c r="AI169" s="166"/>
      <c r="AJ169" s="166"/>
      <c r="AK169" s="166"/>
      <c r="AL169" s="166"/>
      <c r="AM169" s="166"/>
      <c r="AN169" s="166">
        <f>+Y169</f>
        <v>20254.59</v>
      </c>
      <c r="AO169" s="166"/>
      <c r="AP169" s="166"/>
      <c r="AQ169" s="166"/>
      <c r="AR169" s="166"/>
      <c r="AS169" s="167">
        <f t="shared" si="64"/>
        <v>20254.59</v>
      </c>
    </row>
    <row r="170" spans="1:45" ht="89.25" hidden="1">
      <c r="A170" s="343" t="s">
        <v>952</v>
      </c>
      <c r="B170" s="169">
        <v>20</v>
      </c>
      <c r="C170" s="270" t="s">
        <v>1094</v>
      </c>
      <c r="D170" s="273" t="s">
        <v>658</v>
      </c>
      <c r="E170" s="325" t="s">
        <v>1095</v>
      </c>
      <c r="F170" s="155" t="s">
        <v>1096</v>
      </c>
      <c r="G170" s="155" t="s">
        <v>1097</v>
      </c>
      <c r="H170" s="325" t="s">
        <v>1098</v>
      </c>
      <c r="I170" s="156" t="s">
        <v>1099</v>
      </c>
      <c r="J170" s="157"/>
      <c r="K170" s="157">
        <v>180000</v>
      </c>
      <c r="L170" s="158" t="s">
        <v>1100</v>
      </c>
      <c r="M170" s="159" t="s">
        <v>68</v>
      </c>
      <c r="N170" s="159"/>
      <c r="O170" s="157"/>
      <c r="P170" s="157">
        <v>180000</v>
      </c>
      <c r="Q170" s="160">
        <f t="shared" si="65"/>
        <v>180000</v>
      </c>
      <c r="R170" s="157">
        <v>126000</v>
      </c>
      <c r="S170" s="161"/>
      <c r="T170" s="157">
        <v>54000</v>
      </c>
      <c r="U170" s="161"/>
      <c r="V170" s="161"/>
      <c r="W170" s="161"/>
      <c r="X170" s="161"/>
      <c r="Y170" s="160">
        <f t="shared" si="63"/>
        <v>180000</v>
      </c>
      <c r="Z170" s="162" t="s">
        <v>952</v>
      </c>
      <c r="AA170" s="162" t="s">
        <v>960</v>
      </c>
      <c r="AB170" s="162" t="s">
        <v>1003</v>
      </c>
      <c r="AC170" s="163">
        <v>42125</v>
      </c>
      <c r="AD170" s="163">
        <v>42277</v>
      </c>
      <c r="AE170" s="211" t="s">
        <v>424</v>
      </c>
      <c r="AF170" s="191"/>
      <c r="AG170" s="166"/>
      <c r="AH170" s="166"/>
      <c r="AI170" s="166"/>
      <c r="AJ170" s="166"/>
      <c r="AK170" s="166"/>
      <c r="AL170" s="166"/>
      <c r="AM170" s="166"/>
      <c r="AN170" s="166">
        <v>40000</v>
      </c>
      <c r="AO170" s="166">
        <v>30000</v>
      </c>
      <c r="AP170" s="166">
        <v>30000</v>
      </c>
      <c r="AQ170" s="166">
        <v>50000</v>
      </c>
      <c r="AR170" s="166">
        <v>30000</v>
      </c>
      <c r="AS170" s="167">
        <f>SUM(AG170:AR170)</f>
        <v>180000</v>
      </c>
    </row>
    <row r="171" spans="1:45" ht="89.25" hidden="1">
      <c r="A171" s="346" t="s">
        <v>952</v>
      </c>
      <c r="B171" s="169">
        <v>21</v>
      </c>
      <c r="C171" s="270" t="s">
        <v>1101</v>
      </c>
      <c r="D171" s="273" t="s">
        <v>658</v>
      </c>
      <c r="E171" s="325" t="s">
        <v>1102</v>
      </c>
      <c r="F171" s="155" t="s">
        <v>1103</v>
      </c>
      <c r="G171" s="155" t="s">
        <v>1104</v>
      </c>
      <c r="H171" s="325" t="s">
        <v>1098</v>
      </c>
      <c r="I171" s="156" t="s">
        <v>1105</v>
      </c>
      <c r="J171" s="157"/>
      <c r="K171" s="157">
        <v>7000</v>
      </c>
      <c r="L171" s="158" t="s">
        <v>1106</v>
      </c>
      <c r="M171" s="159" t="s">
        <v>68</v>
      </c>
      <c r="N171" s="159"/>
      <c r="O171" s="157">
        <v>2835.64</v>
      </c>
      <c r="P171" s="157"/>
      <c r="Q171" s="160">
        <f t="shared" si="65"/>
        <v>2835.64</v>
      </c>
      <c r="R171" s="157">
        <v>735.64</v>
      </c>
      <c r="S171" s="161"/>
      <c r="T171" s="157">
        <v>2100</v>
      </c>
      <c r="U171" s="161"/>
      <c r="V171" s="161"/>
      <c r="W171" s="161"/>
      <c r="X171" s="161"/>
      <c r="Y171" s="160">
        <f t="shared" si="63"/>
        <v>2835.64</v>
      </c>
      <c r="Z171" s="162" t="s">
        <v>952</v>
      </c>
      <c r="AA171" s="162" t="s">
        <v>960</v>
      </c>
      <c r="AB171" s="162" t="s">
        <v>1003</v>
      </c>
      <c r="AC171" s="163">
        <v>42125</v>
      </c>
      <c r="AD171" s="163">
        <v>42185</v>
      </c>
      <c r="AE171" s="211" t="s">
        <v>368</v>
      </c>
      <c r="AF171" s="191"/>
      <c r="AG171" s="166"/>
      <c r="AH171" s="166"/>
      <c r="AI171" s="166"/>
      <c r="AJ171" s="166"/>
      <c r="AK171" s="166"/>
      <c r="AL171" s="166"/>
      <c r="AM171" s="166"/>
      <c r="AN171" s="166">
        <f>+Y171</f>
        <v>2835.64</v>
      </c>
      <c r="AO171" s="166"/>
      <c r="AP171" s="166"/>
      <c r="AQ171" s="166"/>
      <c r="AR171" s="166"/>
      <c r="AS171" s="167">
        <f t="shared" si="64"/>
        <v>2835.64</v>
      </c>
    </row>
    <row r="172" spans="1:45" ht="63.75" hidden="1">
      <c r="A172" s="346" t="s">
        <v>952</v>
      </c>
      <c r="B172" s="169">
        <v>22</v>
      </c>
      <c r="C172" s="270" t="s">
        <v>1107</v>
      </c>
      <c r="D172" s="273" t="s">
        <v>1108</v>
      </c>
      <c r="E172" s="325" t="s">
        <v>1109</v>
      </c>
      <c r="F172" s="155" t="s">
        <v>1110</v>
      </c>
      <c r="G172" s="155" t="s">
        <v>1111</v>
      </c>
      <c r="H172" s="325" t="s">
        <v>1112</v>
      </c>
      <c r="I172" s="156" t="s">
        <v>1113</v>
      </c>
      <c r="J172" s="157"/>
      <c r="K172" s="157">
        <v>110000</v>
      </c>
      <c r="L172" s="158" t="s">
        <v>1114</v>
      </c>
      <c r="M172" s="159"/>
      <c r="N172" s="159" t="s">
        <v>114</v>
      </c>
      <c r="O172" s="157"/>
      <c r="P172" s="157">
        <v>44560.09</v>
      </c>
      <c r="Q172" s="160">
        <f t="shared" si="65"/>
        <v>44560.09</v>
      </c>
      <c r="R172" s="157">
        <v>11560.09</v>
      </c>
      <c r="S172" s="161"/>
      <c r="T172" s="157">
        <v>33000</v>
      </c>
      <c r="U172" s="161"/>
      <c r="V172" s="161"/>
      <c r="W172" s="161"/>
      <c r="X172" s="161"/>
      <c r="Y172" s="160">
        <f t="shared" si="63"/>
        <v>44560.09</v>
      </c>
      <c r="Z172" s="162" t="s">
        <v>952</v>
      </c>
      <c r="AA172" s="162" t="s">
        <v>969</v>
      </c>
      <c r="AB172" s="162" t="s">
        <v>1012</v>
      </c>
      <c r="AC172" s="163">
        <v>42125</v>
      </c>
      <c r="AD172" s="163">
        <v>42246</v>
      </c>
      <c r="AE172" s="211" t="s">
        <v>424</v>
      </c>
      <c r="AF172" s="191"/>
      <c r="AG172" s="166"/>
      <c r="AH172" s="166"/>
      <c r="AI172" s="166"/>
      <c r="AJ172" s="166"/>
      <c r="AK172" s="166"/>
      <c r="AL172" s="166"/>
      <c r="AM172" s="166"/>
      <c r="AN172" s="166">
        <f>+Y172</f>
        <v>44560.09</v>
      </c>
      <c r="AO172" s="166"/>
      <c r="AP172" s="166"/>
      <c r="AQ172" s="166"/>
      <c r="AR172" s="166"/>
      <c r="AS172" s="167">
        <f t="shared" si="64"/>
        <v>44560.09</v>
      </c>
    </row>
    <row r="173" spans="1:45" ht="63.75" hidden="1">
      <c r="A173" s="346" t="s">
        <v>952</v>
      </c>
      <c r="B173" s="169">
        <v>23</v>
      </c>
      <c r="C173" s="270" t="s">
        <v>1115</v>
      </c>
      <c r="D173" s="273" t="s">
        <v>1108</v>
      </c>
      <c r="E173" s="325" t="s">
        <v>1116</v>
      </c>
      <c r="F173" s="155" t="s">
        <v>1117</v>
      </c>
      <c r="G173" s="155" t="s">
        <v>1118</v>
      </c>
      <c r="H173" s="325" t="s">
        <v>1119</v>
      </c>
      <c r="I173" s="156" t="s">
        <v>1120</v>
      </c>
      <c r="J173" s="157"/>
      <c r="K173" s="157">
        <v>30000</v>
      </c>
      <c r="L173" s="158" t="s">
        <v>1121</v>
      </c>
      <c r="M173" s="159" t="s">
        <v>68</v>
      </c>
      <c r="N173" s="159"/>
      <c r="O173" s="157"/>
      <c r="P173" s="157">
        <v>12152.75</v>
      </c>
      <c r="Q173" s="160">
        <f t="shared" si="65"/>
        <v>12152.75</v>
      </c>
      <c r="R173" s="157">
        <v>3152.75</v>
      </c>
      <c r="S173" s="161"/>
      <c r="T173" s="157">
        <v>9000</v>
      </c>
      <c r="U173" s="161"/>
      <c r="V173" s="161"/>
      <c r="W173" s="161"/>
      <c r="X173" s="161"/>
      <c r="Y173" s="160">
        <f t="shared" si="63"/>
        <v>12152.75</v>
      </c>
      <c r="Z173" s="162" t="s">
        <v>952</v>
      </c>
      <c r="AA173" s="162" t="s">
        <v>960</v>
      </c>
      <c r="AB173" s="162" t="s">
        <v>1003</v>
      </c>
      <c r="AC173" s="163">
        <v>42125</v>
      </c>
      <c r="AD173" s="163">
        <v>42185</v>
      </c>
      <c r="AE173" s="211" t="s">
        <v>424</v>
      </c>
      <c r="AF173" s="191"/>
      <c r="AG173" s="166"/>
      <c r="AH173" s="166"/>
      <c r="AI173" s="166"/>
      <c r="AJ173" s="166"/>
      <c r="AK173" s="166"/>
      <c r="AL173" s="166"/>
      <c r="AM173" s="166"/>
      <c r="AN173" s="166">
        <f>+Y173</f>
        <v>12152.75</v>
      </c>
      <c r="AO173" s="166"/>
      <c r="AP173" s="166"/>
      <c r="AQ173" s="166"/>
      <c r="AR173" s="166"/>
      <c r="AS173" s="167">
        <f t="shared" si="64"/>
        <v>12152.75</v>
      </c>
    </row>
    <row r="174" spans="1:45" ht="89.25" hidden="1">
      <c r="A174" s="343" t="s">
        <v>952</v>
      </c>
      <c r="B174" s="169">
        <v>24</v>
      </c>
      <c r="C174" s="270" t="s">
        <v>1122</v>
      </c>
      <c r="D174" s="273" t="s">
        <v>1108</v>
      </c>
      <c r="E174" s="325" t="s">
        <v>1123</v>
      </c>
      <c r="F174" s="155" t="s">
        <v>1124</v>
      </c>
      <c r="G174" s="155" t="s">
        <v>1125</v>
      </c>
      <c r="H174" s="325" t="s">
        <v>1126</v>
      </c>
      <c r="I174" s="156" t="s">
        <v>1127</v>
      </c>
      <c r="J174" s="157"/>
      <c r="K174" s="157">
        <v>25000</v>
      </c>
      <c r="L174" s="158" t="s">
        <v>1128</v>
      </c>
      <c r="M174" s="159" t="s">
        <v>68</v>
      </c>
      <c r="N174" s="159"/>
      <c r="O174" s="157"/>
      <c r="P174" s="157">
        <v>25000</v>
      </c>
      <c r="Q174" s="160">
        <f t="shared" si="65"/>
        <v>25000</v>
      </c>
      <c r="R174" s="157">
        <v>17500</v>
      </c>
      <c r="S174" s="161"/>
      <c r="T174" s="157">
        <v>7500</v>
      </c>
      <c r="U174" s="161"/>
      <c r="V174" s="161"/>
      <c r="W174" s="161"/>
      <c r="X174" s="161"/>
      <c r="Y174" s="160">
        <f t="shared" si="63"/>
        <v>25000</v>
      </c>
      <c r="Z174" s="162" t="s">
        <v>952</v>
      </c>
      <c r="AA174" s="162" t="s">
        <v>960</v>
      </c>
      <c r="AB174" s="162" t="s">
        <v>1003</v>
      </c>
      <c r="AC174" s="163">
        <v>42125</v>
      </c>
      <c r="AD174" s="163">
        <v>42185</v>
      </c>
      <c r="AE174" s="211" t="s">
        <v>424</v>
      </c>
      <c r="AF174" s="191"/>
      <c r="AG174" s="166"/>
      <c r="AH174" s="166"/>
      <c r="AI174" s="166"/>
      <c r="AJ174" s="166"/>
      <c r="AK174" s="166"/>
      <c r="AL174" s="166"/>
      <c r="AM174" s="166"/>
      <c r="AN174" s="166">
        <v>15000</v>
      </c>
      <c r="AO174" s="166">
        <v>10000</v>
      </c>
      <c r="AP174" s="166"/>
      <c r="AQ174" s="166"/>
      <c r="AR174" s="166"/>
      <c r="AS174" s="167">
        <f t="shared" si="64"/>
        <v>25000</v>
      </c>
    </row>
    <row r="175" spans="1:45" ht="76.5" hidden="1">
      <c r="A175" s="343" t="s">
        <v>952</v>
      </c>
      <c r="B175" s="169">
        <v>25</v>
      </c>
      <c r="C175" s="270" t="s">
        <v>1129</v>
      </c>
      <c r="D175" s="273" t="s">
        <v>1108</v>
      </c>
      <c r="E175" s="325" t="s">
        <v>1130</v>
      </c>
      <c r="F175" s="155" t="s">
        <v>1131</v>
      </c>
      <c r="G175" s="155" t="s">
        <v>1132</v>
      </c>
      <c r="H175" s="325" t="s">
        <v>1133</v>
      </c>
      <c r="I175" s="156" t="s">
        <v>1134</v>
      </c>
      <c r="J175" s="157"/>
      <c r="K175" s="157">
        <v>10000</v>
      </c>
      <c r="L175" s="158" t="s">
        <v>1114</v>
      </c>
      <c r="M175" s="159" t="s">
        <v>68</v>
      </c>
      <c r="N175" s="159"/>
      <c r="O175" s="157">
        <v>10000</v>
      </c>
      <c r="P175" s="157"/>
      <c r="Q175" s="160">
        <f t="shared" si="65"/>
        <v>10000</v>
      </c>
      <c r="R175" s="157">
        <v>5000</v>
      </c>
      <c r="S175" s="161"/>
      <c r="T175" s="157">
        <v>5000</v>
      </c>
      <c r="U175" s="161"/>
      <c r="V175" s="161"/>
      <c r="W175" s="161"/>
      <c r="X175" s="161"/>
      <c r="Y175" s="160">
        <f t="shared" si="63"/>
        <v>10000</v>
      </c>
      <c r="Z175" s="162" t="s">
        <v>952</v>
      </c>
      <c r="AA175" s="162" t="s">
        <v>960</v>
      </c>
      <c r="AB175" s="162" t="s">
        <v>1003</v>
      </c>
      <c r="AC175" s="163">
        <v>42036</v>
      </c>
      <c r="AD175" s="163">
        <v>42124</v>
      </c>
      <c r="AE175" s="211" t="s">
        <v>424</v>
      </c>
      <c r="AF175" s="191"/>
      <c r="AG175" s="166"/>
      <c r="AH175" s="166"/>
      <c r="AI175" s="166"/>
      <c r="AJ175" s="166"/>
      <c r="AK175" s="166"/>
      <c r="AL175" s="166"/>
      <c r="AM175" s="166">
        <v>4000</v>
      </c>
      <c r="AN175" s="166">
        <v>3000</v>
      </c>
      <c r="AO175" s="166">
        <v>3000</v>
      </c>
      <c r="AP175" s="166"/>
      <c r="AQ175" s="166"/>
      <c r="AR175" s="166"/>
      <c r="AS175" s="167">
        <f t="shared" si="64"/>
        <v>10000</v>
      </c>
    </row>
    <row r="176" spans="1:45" ht="89.25" hidden="1">
      <c r="A176" s="346" t="s">
        <v>952</v>
      </c>
      <c r="B176" s="169">
        <v>26</v>
      </c>
      <c r="C176" s="270" t="s">
        <v>1135</v>
      </c>
      <c r="D176" s="273" t="s">
        <v>1136</v>
      </c>
      <c r="E176" s="325" t="s">
        <v>1137</v>
      </c>
      <c r="F176" s="155" t="s">
        <v>1138</v>
      </c>
      <c r="G176" s="155" t="s">
        <v>1139</v>
      </c>
      <c r="H176" s="325" t="s">
        <v>1140</v>
      </c>
      <c r="I176" s="156" t="s">
        <v>1141</v>
      </c>
      <c r="J176" s="157"/>
      <c r="K176" s="157">
        <v>160000</v>
      </c>
      <c r="L176" s="158" t="s">
        <v>1142</v>
      </c>
      <c r="M176" s="159" t="s">
        <v>68</v>
      </c>
      <c r="N176" s="159"/>
      <c r="O176" s="157"/>
      <c r="P176" s="157">
        <v>64814</v>
      </c>
      <c r="Q176" s="160">
        <f t="shared" si="65"/>
        <v>64814</v>
      </c>
      <c r="R176" s="157">
        <v>16814</v>
      </c>
      <c r="S176" s="161"/>
      <c r="T176" s="157">
        <v>48000</v>
      </c>
      <c r="U176" s="161"/>
      <c r="V176" s="161"/>
      <c r="W176" s="161"/>
      <c r="X176" s="161"/>
      <c r="Y176" s="160">
        <f t="shared" si="63"/>
        <v>64814</v>
      </c>
      <c r="Z176" s="162" t="s">
        <v>952</v>
      </c>
      <c r="AA176" s="162" t="s">
        <v>969</v>
      </c>
      <c r="AB176" s="162" t="s">
        <v>1012</v>
      </c>
      <c r="AC176" s="163">
        <v>42095</v>
      </c>
      <c r="AD176" s="163">
        <v>42246</v>
      </c>
      <c r="AE176" s="211" t="s">
        <v>424</v>
      </c>
      <c r="AF176" s="191"/>
      <c r="AG176" s="166"/>
      <c r="AH176" s="166"/>
      <c r="AI176" s="166"/>
      <c r="AJ176" s="166"/>
      <c r="AK176" s="166"/>
      <c r="AL176" s="166"/>
      <c r="AM176" s="166"/>
      <c r="AN176" s="166">
        <f>+Y176</f>
        <v>64814</v>
      </c>
      <c r="AO176" s="166"/>
      <c r="AP176" s="166"/>
      <c r="AQ176" s="166"/>
      <c r="AR176" s="166"/>
      <c r="AS176" s="167">
        <f t="shared" si="64"/>
        <v>64814</v>
      </c>
    </row>
    <row r="177" spans="1:45" ht="63.75" hidden="1">
      <c r="A177" s="347" t="s">
        <v>952</v>
      </c>
      <c r="B177" s="169">
        <v>27</v>
      </c>
      <c r="C177" s="270" t="s">
        <v>1143</v>
      </c>
      <c r="D177" s="273" t="s">
        <v>1144</v>
      </c>
      <c r="E177" s="325" t="s">
        <v>1145</v>
      </c>
      <c r="F177" s="345" t="s">
        <v>1146</v>
      </c>
      <c r="G177" s="155" t="s">
        <v>1147</v>
      </c>
      <c r="H177" s="345" t="s">
        <v>1148</v>
      </c>
      <c r="I177" s="325" t="s">
        <v>1149</v>
      </c>
      <c r="J177" s="157"/>
      <c r="K177" s="157">
        <v>85000</v>
      </c>
      <c r="L177" s="158" t="s">
        <v>1142</v>
      </c>
      <c r="M177" s="159" t="s">
        <v>68</v>
      </c>
      <c r="N177" s="159"/>
      <c r="O177" s="157"/>
      <c r="P177" s="157">
        <v>34432.800000000003</v>
      </c>
      <c r="Q177" s="160">
        <f t="shared" si="65"/>
        <v>34432.800000000003</v>
      </c>
      <c r="R177" s="157">
        <v>8932.7999999999993</v>
      </c>
      <c r="S177" s="161"/>
      <c r="T177" s="157">
        <v>25500</v>
      </c>
      <c r="U177" s="161"/>
      <c r="V177" s="161"/>
      <c r="W177" s="161"/>
      <c r="X177" s="161"/>
      <c r="Y177" s="160">
        <f t="shared" si="63"/>
        <v>34432.800000000003</v>
      </c>
      <c r="Z177" s="162" t="s">
        <v>952</v>
      </c>
      <c r="AA177" s="162" t="s">
        <v>960</v>
      </c>
      <c r="AB177" s="162" t="s">
        <v>1003</v>
      </c>
      <c r="AC177" s="163">
        <v>42125</v>
      </c>
      <c r="AD177" s="163">
        <v>42246</v>
      </c>
      <c r="AE177" s="211" t="s">
        <v>424</v>
      </c>
      <c r="AF177" s="191"/>
      <c r="AG177" s="166"/>
      <c r="AH177" s="166"/>
      <c r="AI177" s="166"/>
      <c r="AJ177" s="166"/>
      <c r="AK177" s="166"/>
      <c r="AL177" s="166"/>
      <c r="AM177" s="166"/>
      <c r="AN177" s="166">
        <f>+Y177</f>
        <v>34432.800000000003</v>
      </c>
      <c r="AO177" s="166"/>
      <c r="AP177" s="166"/>
      <c r="AQ177" s="166"/>
      <c r="AR177" s="166"/>
      <c r="AS177" s="167">
        <f t="shared" si="64"/>
        <v>34432.800000000003</v>
      </c>
    </row>
    <row r="178" spans="1:45" ht="89.25" hidden="1">
      <c r="A178" s="346" t="s">
        <v>952</v>
      </c>
      <c r="B178" s="169">
        <v>28</v>
      </c>
      <c r="C178" s="348" t="s">
        <v>1150</v>
      </c>
      <c r="D178" s="273" t="s">
        <v>1144</v>
      </c>
      <c r="E178" s="325" t="s">
        <v>1151</v>
      </c>
      <c r="F178" s="155" t="s">
        <v>1152</v>
      </c>
      <c r="G178" s="155" t="s">
        <v>1147</v>
      </c>
      <c r="H178" s="155" t="s">
        <v>1153</v>
      </c>
      <c r="I178" s="325" t="s">
        <v>1154</v>
      </c>
      <c r="J178" s="157"/>
      <c r="K178" s="157">
        <v>162000</v>
      </c>
      <c r="L178" s="158" t="s">
        <v>1155</v>
      </c>
      <c r="M178" s="159" t="s">
        <v>68</v>
      </c>
      <c r="N178" s="159"/>
      <c r="O178" s="157"/>
      <c r="P178" s="157">
        <v>65624.86</v>
      </c>
      <c r="Q178" s="160">
        <f t="shared" si="65"/>
        <v>65624.86</v>
      </c>
      <c r="R178" s="157">
        <v>17024.86</v>
      </c>
      <c r="S178" s="161"/>
      <c r="T178" s="157">
        <v>48600</v>
      </c>
      <c r="U178" s="161"/>
      <c r="V178" s="161"/>
      <c r="W178" s="161"/>
      <c r="X178" s="161"/>
      <c r="Y178" s="160">
        <f t="shared" si="63"/>
        <v>65624.86</v>
      </c>
      <c r="Z178" s="162" t="s">
        <v>952</v>
      </c>
      <c r="AA178" s="162" t="s">
        <v>960</v>
      </c>
      <c r="AB178" s="162" t="s">
        <v>1003</v>
      </c>
      <c r="AC178" s="163">
        <v>42095</v>
      </c>
      <c r="AD178" s="163">
        <v>42246</v>
      </c>
      <c r="AE178" s="211" t="s">
        <v>424</v>
      </c>
      <c r="AF178" s="191"/>
      <c r="AG178" s="166"/>
      <c r="AH178" s="166"/>
      <c r="AI178" s="166"/>
      <c r="AJ178" s="166"/>
      <c r="AK178" s="166"/>
      <c r="AL178" s="166"/>
      <c r="AM178" s="166"/>
      <c r="AN178" s="166">
        <f>+Y178</f>
        <v>65624.86</v>
      </c>
      <c r="AO178" s="166"/>
      <c r="AP178" s="166"/>
      <c r="AQ178" s="166"/>
      <c r="AR178" s="166"/>
      <c r="AS178" s="167">
        <f t="shared" si="64"/>
        <v>65624.86</v>
      </c>
    </row>
    <row r="179" spans="1:45" ht="102" hidden="1">
      <c r="A179" s="343" t="s">
        <v>952</v>
      </c>
      <c r="B179" s="169">
        <v>29</v>
      </c>
      <c r="C179" s="270" t="s">
        <v>1156</v>
      </c>
      <c r="D179" s="273" t="s">
        <v>1144</v>
      </c>
      <c r="E179" s="325" t="s">
        <v>1157</v>
      </c>
      <c r="F179" s="155" t="s">
        <v>1158</v>
      </c>
      <c r="G179" s="155" t="s">
        <v>1159</v>
      </c>
      <c r="H179" s="325" t="s">
        <v>1160</v>
      </c>
      <c r="I179" s="156" t="s">
        <v>1161</v>
      </c>
      <c r="J179" s="157"/>
      <c r="K179" s="157">
        <v>15000</v>
      </c>
      <c r="L179" s="158" t="s">
        <v>1162</v>
      </c>
      <c r="M179" s="159" t="s">
        <v>68</v>
      </c>
      <c r="N179" s="159"/>
      <c r="O179" s="157">
        <v>15000</v>
      </c>
      <c r="P179" s="157"/>
      <c r="Q179" s="160">
        <f t="shared" si="65"/>
        <v>15000</v>
      </c>
      <c r="R179" s="157">
        <v>10500</v>
      </c>
      <c r="S179" s="161"/>
      <c r="T179" s="157">
        <v>4500</v>
      </c>
      <c r="U179" s="161"/>
      <c r="V179" s="161"/>
      <c r="W179" s="161"/>
      <c r="X179" s="161"/>
      <c r="Y179" s="160">
        <f t="shared" si="63"/>
        <v>15000</v>
      </c>
      <c r="Z179" s="162" t="s">
        <v>952</v>
      </c>
      <c r="AA179" s="162" t="s">
        <v>969</v>
      </c>
      <c r="AB179" s="162" t="s">
        <v>1012</v>
      </c>
      <c r="AC179" s="163">
        <v>42036</v>
      </c>
      <c r="AD179" s="163">
        <v>42124</v>
      </c>
      <c r="AE179" s="211" t="s">
        <v>424</v>
      </c>
      <c r="AF179" s="191"/>
      <c r="AG179" s="166"/>
      <c r="AH179" s="166"/>
      <c r="AI179" s="166"/>
      <c r="AJ179" s="166"/>
      <c r="AK179" s="166"/>
      <c r="AL179" s="166"/>
      <c r="AM179" s="166"/>
      <c r="AN179" s="166">
        <v>5000</v>
      </c>
      <c r="AO179" s="166">
        <v>5000</v>
      </c>
      <c r="AP179" s="166">
        <v>5000</v>
      </c>
      <c r="AQ179" s="166"/>
      <c r="AR179" s="166"/>
      <c r="AS179" s="167">
        <f t="shared" si="64"/>
        <v>15000</v>
      </c>
    </row>
    <row r="180" spans="1:45" ht="89.25" hidden="1">
      <c r="A180" s="343" t="s">
        <v>952</v>
      </c>
      <c r="B180" s="169">
        <v>30</v>
      </c>
      <c r="C180" s="270" t="s">
        <v>1163</v>
      </c>
      <c r="D180" s="273" t="s">
        <v>1144</v>
      </c>
      <c r="E180" s="325" t="s">
        <v>1164</v>
      </c>
      <c r="F180" s="155" t="s">
        <v>1165</v>
      </c>
      <c r="G180" s="155" t="s">
        <v>1159</v>
      </c>
      <c r="H180" s="325" t="s">
        <v>1166</v>
      </c>
      <c r="I180" s="156" t="s">
        <v>1161</v>
      </c>
      <c r="J180" s="157"/>
      <c r="K180" s="157">
        <v>20000</v>
      </c>
      <c r="L180" s="158" t="s">
        <v>364</v>
      </c>
      <c r="M180" s="159" t="s">
        <v>68</v>
      </c>
      <c r="N180" s="159"/>
      <c r="O180" s="157">
        <v>20000</v>
      </c>
      <c r="P180" s="157"/>
      <c r="Q180" s="160">
        <f t="shared" si="65"/>
        <v>20000</v>
      </c>
      <c r="R180" s="157">
        <v>14000</v>
      </c>
      <c r="S180" s="161"/>
      <c r="T180" s="157">
        <v>6000</v>
      </c>
      <c r="U180" s="161"/>
      <c r="V180" s="161"/>
      <c r="W180" s="161"/>
      <c r="X180" s="161"/>
      <c r="Y180" s="160">
        <f t="shared" si="63"/>
        <v>20000</v>
      </c>
      <c r="Z180" s="162" t="s">
        <v>952</v>
      </c>
      <c r="AA180" s="162" t="s">
        <v>969</v>
      </c>
      <c r="AB180" s="162" t="s">
        <v>1012</v>
      </c>
      <c r="AC180" s="163">
        <v>42036</v>
      </c>
      <c r="AD180" s="163">
        <v>42124</v>
      </c>
      <c r="AE180" s="211" t="s">
        <v>424</v>
      </c>
      <c r="AF180" s="191"/>
      <c r="AG180" s="166"/>
      <c r="AH180" s="166"/>
      <c r="AI180" s="166"/>
      <c r="AJ180" s="166"/>
      <c r="AK180" s="166"/>
      <c r="AL180" s="166"/>
      <c r="AM180" s="166">
        <v>5000</v>
      </c>
      <c r="AN180" s="166">
        <v>10000</v>
      </c>
      <c r="AO180" s="166">
        <v>5000</v>
      </c>
      <c r="AP180" s="166"/>
      <c r="AQ180" s="166"/>
      <c r="AR180" s="166"/>
      <c r="AS180" s="167">
        <f t="shared" si="64"/>
        <v>20000</v>
      </c>
    </row>
    <row r="181" spans="1:45" ht="124.5" hidden="1" customHeight="1">
      <c r="A181" s="343" t="s">
        <v>952</v>
      </c>
      <c r="B181" s="169">
        <v>31</v>
      </c>
      <c r="C181" s="349" t="s">
        <v>1167</v>
      </c>
      <c r="D181" s="273" t="s">
        <v>1168</v>
      </c>
      <c r="E181" s="325" t="s">
        <v>1169</v>
      </c>
      <c r="F181" s="345" t="s">
        <v>1170</v>
      </c>
      <c r="G181" s="155" t="s">
        <v>1171</v>
      </c>
      <c r="H181" s="325" t="s">
        <v>1172</v>
      </c>
      <c r="I181" s="156"/>
      <c r="J181" s="157"/>
      <c r="K181" s="157">
        <v>100000</v>
      </c>
      <c r="L181" s="158" t="s">
        <v>1173</v>
      </c>
      <c r="M181" s="159" t="s">
        <v>68</v>
      </c>
      <c r="N181" s="159"/>
      <c r="O181" s="157"/>
      <c r="P181" s="157">
        <v>100000</v>
      </c>
      <c r="Q181" s="160">
        <f t="shared" si="65"/>
        <v>100000</v>
      </c>
      <c r="R181" s="157">
        <v>70000</v>
      </c>
      <c r="S181" s="161"/>
      <c r="T181" s="157">
        <v>30000</v>
      </c>
      <c r="U181" s="161"/>
      <c r="V181" s="161"/>
      <c r="W181" s="161"/>
      <c r="X181" s="161"/>
      <c r="Y181" s="160">
        <f t="shared" si="63"/>
        <v>100000</v>
      </c>
      <c r="Z181" s="162" t="s">
        <v>952</v>
      </c>
      <c r="AA181" s="162" t="s">
        <v>960</v>
      </c>
      <c r="AB181" s="162" t="s">
        <v>1003</v>
      </c>
      <c r="AC181" s="163">
        <v>42125</v>
      </c>
      <c r="AD181" s="163">
        <v>42246</v>
      </c>
      <c r="AE181" s="211" t="s">
        <v>424</v>
      </c>
      <c r="AF181" s="191"/>
      <c r="AG181" s="166"/>
      <c r="AH181" s="166"/>
      <c r="AI181" s="166"/>
      <c r="AJ181" s="166"/>
      <c r="AK181" s="166"/>
      <c r="AL181" s="166"/>
      <c r="AM181" s="166"/>
      <c r="AN181" s="166">
        <v>30000</v>
      </c>
      <c r="AO181" s="166">
        <v>20000</v>
      </c>
      <c r="AP181" s="166">
        <v>25000</v>
      </c>
      <c r="AQ181" s="166">
        <v>25000</v>
      </c>
      <c r="AR181" s="166"/>
      <c r="AS181" s="167">
        <f t="shared" si="64"/>
        <v>100000</v>
      </c>
    </row>
    <row r="182" spans="1:45" ht="114.75" hidden="1">
      <c r="A182" s="346" t="s">
        <v>952</v>
      </c>
      <c r="B182" s="169">
        <v>32</v>
      </c>
      <c r="C182" s="156" t="s">
        <v>1174</v>
      </c>
      <c r="D182" s="273" t="s">
        <v>454</v>
      </c>
      <c r="E182" s="155" t="s">
        <v>1175</v>
      </c>
      <c r="F182" s="155" t="s">
        <v>1176</v>
      </c>
      <c r="G182" s="155" t="s">
        <v>1177</v>
      </c>
      <c r="H182" s="155" t="s">
        <v>1178</v>
      </c>
      <c r="I182" s="156" t="s">
        <v>1179</v>
      </c>
      <c r="J182" s="157"/>
      <c r="K182" s="157">
        <v>205426.96</v>
      </c>
      <c r="L182" s="158" t="s">
        <v>1180</v>
      </c>
      <c r="M182" s="159" t="s">
        <v>68</v>
      </c>
      <c r="N182" s="159"/>
      <c r="O182" s="157"/>
      <c r="P182" s="157">
        <v>83216.78</v>
      </c>
      <c r="Q182" s="160">
        <f t="shared" si="65"/>
        <v>83216.78</v>
      </c>
      <c r="R182" s="161">
        <v>21588.69</v>
      </c>
      <c r="S182" s="161"/>
      <c r="T182" s="161">
        <v>61628.09</v>
      </c>
      <c r="U182" s="161"/>
      <c r="V182" s="161"/>
      <c r="W182" s="161"/>
      <c r="X182" s="161"/>
      <c r="Y182" s="160">
        <f t="shared" si="63"/>
        <v>83216.78</v>
      </c>
      <c r="Z182" s="162" t="s">
        <v>952</v>
      </c>
      <c r="AA182" s="162" t="s">
        <v>960</v>
      </c>
      <c r="AB182" s="162" t="s">
        <v>1003</v>
      </c>
      <c r="AC182" s="163">
        <v>42217</v>
      </c>
      <c r="AD182" s="163">
        <v>42338</v>
      </c>
      <c r="AE182" s="211" t="s">
        <v>424</v>
      </c>
      <c r="AF182" s="191"/>
      <c r="AG182" s="166"/>
      <c r="AH182" s="166"/>
      <c r="AI182" s="166"/>
      <c r="AJ182" s="166"/>
      <c r="AK182" s="166"/>
      <c r="AL182" s="166"/>
      <c r="AM182" s="166"/>
      <c r="AN182" s="166">
        <f>+Y182</f>
        <v>83216.78</v>
      </c>
      <c r="AO182" s="166"/>
      <c r="AP182" s="166"/>
      <c r="AQ182" s="166"/>
      <c r="AR182" s="166"/>
      <c r="AS182" s="167">
        <f t="shared" si="64"/>
        <v>83216.78</v>
      </c>
    </row>
    <row r="183" spans="1:45" ht="102" hidden="1">
      <c r="A183" s="343" t="s">
        <v>952</v>
      </c>
      <c r="B183" s="169">
        <v>33</v>
      </c>
      <c r="C183" s="156" t="s">
        <v>1181</v>
      </c>
      <c r="D183" s="273" t="s">
        <v>454</v>
      </c>
      <c r="E183" s="155" t="s">
        <v>1182</v>
      </c>
      <c r="F183" s="155" t="s">
        <v>1183</v>
      </c>
      <c r="G183" s="345" t="s">
        <v>1184</v>
      </c>
      <c r="H183" s="155" t="s">
        <v>1185</v>
      </c>
      <c r="I183" s="156" t="s">
        <v>1186</v>
      </c>
      <c r="J183" s="157"/>
      <c r="K183" s="157">
        <v>100000</v>
      </c>
      <c r="L183" s="158" t="s">
        <v>1187</v>
      </c>
      <c r="M183" s="159" t="s">
        <v>68</v>
      </c>
      <c r="N183" s="159"/>
      <c r="O183" s="157"/>
      <c r="P183" s="157">
        <v>100000</v>
      </c>
      <c r="Q183" s="160">
        <f t="shared" si="65"/>
        <v>100000</v>
      </c>
      <c r="R183" s="161">
        <v>70000</v>
      </c>
      <c r="S183" s="161"/>
      <c r="T183" s="161">
        <v>30000</v>
      </c>
      <c r="U183" s="161"/>
      <c r="V183" s="161"/>
      <c r="W183" s="161"/>
      <c r="X183" s="161"/>
      <c r="Y183" s="160">
        <f t="shared" si="63"/>
        <v>100000</v>
      </c>
      <c r="Z183" s="162" t="s">
        <v>952</v>
      </c>
      <c r="AA183" s="162" t="s">
        <v>960</v>
      </c>
      <c r="AB183" s="162" t="s">
        <v>1003</v>
      </c>
      <c r="AC183" s="163">
        <v>42064</v>
      </c>
      <c r="AD183" s="163">
        <v>42308</v>
      </c>
      <c r="AE183" s="211" t="s">
        <v>424</v>
      </c>
      <c r="AF183" s="191"/>
      <c r="AG183" s="166"/>
      <c r="AH183" s="166"/>
      <c r="AI183" s="166"/>
      <c r="AJ183" s="166"/>
      <c r="AK183" s="166"/>
      <c r="AL183" s="166"/>
      <c r="AM183" s="166">
        <v>15000</v>
      </c>
      <c r="AN183" s="166">
        <v>40000</v>
      </c>
      <c r="AO183" s="166">
        <v>10000</v>
      </c>
      <c r="AP183" s="166">
        <v>10000</v>
      </c>
      <c r="AQ183" s="350">
        <v>25000</v>
      </c>
      <c r="AR183" s="351"/>
      <c r="AS183" s="167">
        <f>SUM(AG183:AQ183)</f>
        <v>100000</v>
      </c>
    </row>
    <row r="184" spans="1:45" ht="114.75" hidden="1">
      <c r="A184" s="343" t="s">
        <v>952</v>
      </c>
      <c r="B184" s="169">
        <v>34</v>
      </c>
      <c r="C184" s="156" t="s">
        <v>1188</v>
      </c>
      <c r="D184" s="273" t="s">
        <v>642</v>
      </c>
      <c r="E184" s="155" t="s">
        <v>1189</v>
      </c>
      <c r="F184" s="155" t="s">
        <v>1190</v>
      </c>
      <c r="G184" s="155" t="s">
        <v>1191</v>
      </c>
      <c r="H184" s="325" t="s">
        <v>1192</v>
      </c>
      <c r="I184" s="156" t="s">
        <v>1193</v>
      </c>
      <c r="J184" s="157"/>
      <c r="K184" s="157">
        <v>60000</v>
      </c>
      <c r="L184" s="158" t="s">
        <v>1194</v>
      </c>
      <c r="M184" s="159" t="s">
        <v>68</v>
      </c>
      <c r="N184" s="159"/>
      <c r="O184" s="157">
        <v>60000</v>
      </c>
      <c r="P184" s="157"/>
      <c r="Q184" s="160">
        <f t="shared" si="65"/>
        <v>60000</v>
      </c>
      <c r="R184" s="161">
        <v>42000</v>
      </c>
      <c r="S184" s="161"/>
      <c r="T184" s="161">
        <v>18000</v>
      </c>
      <c r="U184" s="161"/>
      <c r="V184" s="161"/>
      <c r="W184" s="161"/>
      <c r="X184" s="161"/>
      <c r="Y184" s="160">
        <f t="shared" si="63"/>
        <v>60000</v>
      </c>
      <c r="Z184" s="162" t="s">
        <v>952</v>
      </c>
      <c r="AA184" s="162" t="s">
        <v>969</v>
      </c>
      <c r="AB184" s="162" t="s">
        <v>995</v>
      </c>
      <c r="AC184" s="163">
        <v>42064</v>
      </c>
      <c r="AD184" s="163">
        <v>42155</v>
      </c>
      <c r="AE184" s="211" t="s">
        <v>424</v>
      </c>
      <c r="AF184" s="191"/>
      <c r="AG184" s="166"/>
      <c r="AH184" s="166"/>
      <c r="AI184" s="166"/>
      <c r="AJ184" s="166"/>
      <c r="AK184" s="166"/>
      <c r="AL184" s="166"/>
      <c r="AM184" s="166"/>
      <c r="AN184" s="166">
        <v>20000</v>
      </c>
      <c r="AO184" s="166">
        <v>20000</v>
      </c>
      <c r="AP184" s="166">
        <v>20000</v>
      </c>
      <c r="AQ184" s="166"/>
      <c r="AR184" s="166"/>
      <c r="AS184" s="167">
        <f t="shared" ref="AS184:AS194" si="66">SUM(AG184:AR184)</f>
        <v>60000</v>
      </c>
    </row>
    <row r="185" spans="1:45" ht="76.5" hidden="1">
      <c r="A185" s="343" t="s">
        <v>952</v>
      </c>
      <c r="B185" s="169">
        <v>35</v>
      </c>
      <c r="C185" s="156" t="s">
        <v>1195</v>
      </c>
      <c r="D185" s="273" t="s">
        <v>642</v>
      </c>
      <c r="E185" s="155" t="s">
        <v>1196</v>
      </c>
      <c r="F185" s="155" t="s">
        <v>1197</v>
      </c>
      <c r="G185" s="155" t="s">
        <v>1198</v>
      </c>
      <c r="H185" s="155" t="s">
        <v>1199</v>
      </c>
      <c r="I185" s="156" t="s">
        <v>1200</v>
      </c>
      <c r="J185" s="157"/>
      <c r="K185" s="157">
        <v>25000</v>
      </c>
      <c r="L185" s="158" t="s">
        <v>1194</v>
      </c>
      <c r="M185" s="159" t="s">
        <v>68</v>
      </c>
      <c r="N185" s="159"/>
      <c r="O185" s="157">
        <v>25000</v>
      </c>
      <c r="P185" s="157"/>
      <c r="Q185" s="160">
        <f t="shared" si="65"/>
        <v>25000</v>
      </c>
      <c r="R185" s="161">
        <v>17500</v>
      </c>
      <c r="S185" s="161"/>
      <c r="T185" s="161">
        <v>7500</v>
      </c>
      <c r="U185" s="161"/>
      <c r="V185" s="161"/>
      <c r="W185" s="161"/>
      <c r="X185" s="161"/>
      <c r="Y185" s="160">
        <f t="shared" si="63"/>
        <v>25000</v>
      </c>
      <c r="Z185" s="162" t="s">
        <v>952</v>
      </c>
      <c r="AA185" s="162" t="s">
        <v>960</v>
      </c>
      <c r="AB185" s="162" t="s">
        <v>1003</v>
      </c>
      <c r="AC185" s="163">
        <v>42095</v>
      </c>
      <c r="AD185" s="163">
        <v>42185</v>
      </c>
      <c r="AE185" s="211" t="s">
        <v>424</v>
      </c>
      <c r="AF185" s="191"/>
      <c r="AG185" s="166"/>
      <c r="AH185" s="166"/>
      <c r="AI185" s="166"/>
      <c r="AJ185" s="166"/>
      <c r="AK185" s="166"/>
      <c r="AL185" s="166"/>
      <c r="AM185" s="166">
        <v>10000</v>
      </c>
      <c r="AN185" s="166">
        <v>10000</v>
      </c>
      <c r="AO185" s="166">
        <v>5000</v>
      </c>
      <c r="AP185" s="166"/>
      <c r="AQ185" s="166"/>
      <c r="AR185" s="166"/>
      <c r="AS185" s="167">
        <f t="shared" si="66"/>
        <v>25000</v>
      </c>
    </row>
    <row r="186" spans="1:45" ht="140.25" hidden="1">
      <c r="A186" s="343" t="s">
        <v>952</v>
      </c>
      <c r="B186" s="169">
        <v>36</v>
      </c>
      <c r="C186" s="156" t="s">
        <v>1201</v>
      </c>
      <c r="D186" s="273" t="s">
        <v>642</v>
      </c>
      <c r="E186" s="155" t="s">
        <v>1202</v>
      </c>
      <c r="F186" s="155" t="s">
        <v>1203</v>
      </c>
      <c r="G186" s="155" t="s">
        <v>1204</v>
      </c>
      <c r="H186" s="155" t="s">
        <v>1205</v>
      </c>
      <c r="I186" s="156" t="s">
        <v>1200</v>
      </c>
      <c r="J186" s="157"/>
      <c r="K186" s="157">
        <v>200000</v>
      </c>
      <c r="L186" s="158" t="s">
        <v>1194</v>
      </c>
      <c r="M186" s="159" t="s">
        <v>68</v>
      </c>
      <c r="N186" s="159"/>
      <c r="O186" s="157"/>
      <c r="P186" s="157">
        <v>200000</v>
      </c>
      <c r="Q186" s="160">
        <f t="shared" si="65"/>
        <v>200000</v>
      </c>
      <c r="R186" s="161">
        <v>140000</v>
      </c>
      <c r="S186" s="161"/>
      <c r="T186" s="161">
        <v>60000</v>
      </c>
      <c r="U186" s="161"/>
      <c r="V186" s="161"/>
      <c r="W186" s="161"/>
      <c r="X186" s="161"/>
      <c r="Y186" s="160">
        <f t="shared" si="63"/>
        <v>200000</v>
      </c>
      <c r="Z186" s="162" t="s">
        <v>952</v>
      </c>
      <c r="AA186" s="162" t="s">
        <v>960</v>
      </c>
      <c r="AB186" s="162" t="s">
        <v>1003</v>
      </c>
      <c r="AC186" s="163">
        <v>42248</v>
      </c>
      <c r="AD186" s="163">
        <v>42369</v>
      </c>
      <c r="AE186" s="211" t="s">
        <v>424</v>
      </c>
      <c r="AF186" s="191"/>
      <c r="AG186" s="166"/>
      <c r="AH186" s="166"/>
      <c r="AI186" s="166"/>
      <c r="AJ186" s="166"/>
      <c r="AK186" s="166"/>
      <c r="AL186" s="166"/>
      <c r="AM186" s="166"/>
      <c r="AN186" s="166"/>
      <c r="AO186" s="166">
        <v>50000</v>
      </c>
      <c r="AP186" s="166">
        <v>50000</v>
      </c>
      <c r="AQ186" s="166">
        <v>50000</v>
      </c>
      <c r="AR186" s="166">
        <v>50000</v>
      </c>
      <c r="AS186" s="167">
        <f t="shared" si="66"/>
        <v>200000</v>
      </c>
    </row>
    <row r="187" spans="1:45" ht="92.25" hidden="1" customHeight="1">
      <c r="A187" s="346" t="s">
        <v>952</v>
      </c>
      <c r="B187" s="169">
        <v>37</v>
      </c>
      <c r="C187" s="344" t="s">
        <v>1206</v>
      </c>
      <c r="D187" s="273" t="s">
        <v>626</v>
      </c>
      <c r="E187" s="325" t="s">
        <v>1207</v>
      </c>
      <c r="F187" s="345" t="s">
        <v>1208</v>
      </c>
      <c r="G187" s="155" t="s">
        <v>1209</v>
      </c>
      <c r="H187" s="325" t="s">
        <v>1210</v>
      </c>
      <c r="I187" s="156" t="s">
        <v>1211</v>
      </c>
      <c r="J187" s="157"/>
      <c r="K187" s="157">
        <v>15000</v>
      </c>
      <c r="L187" s="158" t="s">
        <v>364</v>
      </c>
      <c r="M187" s="159" t="s">
        <v>68</v>
      </c>
      <c r="N187" s="159"/>
      <c r="O187" s="157">
        <v>6076.38</v>
      </c>
      <c r="P187" s="157"/>
      <c r="Q187" s="160">
        <f t="shared" si="65"/>
        <v>6076.38</v>
      </c>
      <c r="R187" s="161">
        <v>1576.38</v>
      </c>
      <c r="S187" s="161"/>
      <c r="T187" s="161">
        <v>4500</v>
      </c>
      <c r="U187" s="161"/>
      <c r="V187" s="161"/>
      <c r="W187" s="161"/>
      <c r="X187" s="161"/>
      <c r="Y187" s="160">
        <f t="shared" si="63"/>
        <v>6076.38</v>
      </c>
      <c r="Z187" s="162" t="s">
        <v>952</v>
      </c>
      <c r="AA187" s="162" t="s">
        <v>960</v>
      </c>
      <c r="AB187" s="162" t="s">
        <v>1003</v>
      </c>
      <c r="AC187" s="163">
        <v>42064</v>
      </c>
      <c r="AD187" s="163">
        <v>42154</v>
      </c>
      <c r="AE187" s="211" t="s">
        <v>424</v>
      </c>
      <c r="AF187" s="191"/>
      <c r="AG187" s="166"/>
      <c r="AH187" s="166"/>
      <c r="AI187" s="166"/>
      <c r="AJ187" s="166"/>
      <c r="AK187" s="166"/>
      <c r="AL187" s="166"/>
      <c r="AM187" s="166"/>
      <c r="AN187" s="166">
        <f>+Y187</f>
        <v>6076.38</v>
      </c>
      <c r="AO187" s="166"/>
      <c r="AP187" s="166"/>
      <c r="AQ187" s="166"/>
      <c r="AR187" s="166"/>
      <c r="AS187" s="167">
        <f t="shared" si="66"/>
        <v>6076.38</v>
      </c>
    </row>
    <row r="188" spans="1:45" ht="156" hidden="1" customHeight="1">
      <c r="A188" s="346" t="s">
        <v>952</v>
      </c>
      <c r="B188" s="169">
        <v>38</v>
      </c>
      <c r="C188" s="344" t="s">
        <v>1212</v>
      </c>
      <c r="D188" s="273" t="s">
        <v>626</v>
      </c>
      <c r="E188" s="325" t="s">
        <v>1213</v>
      </c>
      <c r="F188" s="345" t="s">
        <v>1214</v>
      </c>
      <c r="G188" s="155" t="s">
        <v>1215</v>
      </c>
      <c r="H188" s="325" t="s">
        <v>1216</v>
      </c>
      <c r="I188" s="156" t="s">
        <v>1217</v>
      </c>
      <c r="J188" s="157"/>
      <c r="K188" s="157">
        <v>300000</v>
      </c>
      <c r="L188" s="158" t="s">
        <v>1218</v>
      </c>
      <c r="M188" s="159" t="s">
        <v>68</v>
      </c>
      <c r="N188" s="159"/>
      <c r="O188" s="157"/>
      <c r="P188" s="157">
        <v>121527.52</v>
      </c>
      <c r="Q188" s="160">
        <f t="shared" si="65"/>
        <v>121527.52</v>
      </c>
      <c r="R188" s="161">
        <v>31527.52</v>
      </c>
      <c r="S188" s="161"/>
      <c r="T188" s="161">
        <v>90000</v>
      </c>
      <c r="U188" s="161"/>
      <c r="V188" s="161"/>
      <c r="W188" s="161"/>
      <c r="X188" s="161"/>
      <c r="Y188" s="160">
        <f t="shared" si="63"/>
        <v>121527.52</v>
      </c>
      <c r="Z188" s="162" t="s">
        <v>952</v>
      </c>
      <c r="AA188" s="162" t="s">
        <v>960</v>
      </c>
      <c r="AB188" s="162" t="s">
        <v>1003</v>
      </c>
      <c r="AC188" s="163">
        <v>42156</v>
      </c>
      <c r="AD188" s="163">
        <v>42277</v>
      </c>
      <c r="AE188" s="211" t="s">
        <v>424</v>
      </c>
      <c r="AF188" s="191"/>
      <c r="AG188" s="166"/>
      <c r="AH188" s="166"/>
      <c r="AI188" s="166"/>
      <c r="AJ188" s="166"/>
      <c r="AK188" s="166"/>
      <c r="AL188" s="166"/>
      <c r="AM188" s="166"/>
      <c r="AN188" s="166">
        <f>+Y188</f>
        <v>121527.52</v>
      </c>
      <c r="AO188" s="166"/>
      <c r="AP188" s="166"/>
      <c r="AQ188" s="166"/>
      <c r="AR188" s="166"/>
      <c r="AS188" s="167">
        <f t="shared" si="66"/>
        <v>121527.52</v>
      </c>
    </row>
    <row r="189" spans="1:45" ht="89.25" hidden="1">
      <c r="A189" s="343" t="s">
        <v>952</v>
      </c>
      <c r="B189" s="169">
        <v>39</v>
      </c>
      <c r="C189" s="156" t="s">
        <v>1219</v>
      </c>
      <c r="D189" s="273" t="s">
        <v>609</v>
      </c>
      <c r="E189" s="155" t="s">
        <v>1220</v>
      </c>
      <c r="F189" s="155" t="s">
        <v>1221</v>
      </c>
      <c r="G189" s="155" t="s">
        <v>1222</v>
      </c>
      <c r="H189" s="155" t="s">
        <v>1223</v>
      </c>
      <c r="I189" s="156" t="s">
        <v>1224</v>
      </c>
      <c r="J189" s="157"/>
      <c r="K189" s="157">
        <v>50000</v>
      </c>
      <c r="L189" s="158" t="s">
        <v>1218</v>
      </c>
      <c r="M189" s="159" t="s">
        <v>68</v>
      </c>
      <c r="N189" s="159"/>
      <c r="O189" s="157"/>
      <c r="P189" s="157">
        <v>50000</v>
      </c>
      <c r="Q189" s="160">
        <f t="shared" si="65"/>
        <v>50000</v>
      </c>
      <c r="R189" s="161">
        <v>35000</v>
      </c>
      <c r="S189" s="161"/>
      <c r="T189" s="161">
        <v>15000</v>
      </c>
      <c r="U189" s="161"/>
      <c r="V189" s="161"/>
      <c r="W189" s="161"/>
      <c r="X189" s="161"/>
      <c r="Y189" s="160">
        <f t="shared" si="63"/>
        <v>50000</v>
      </c>
      <c r="Z189" s="162" t="s">
        <v>952</v>
      </c>
      <c r="AA189" s="162" t="s">
        <v>960</v>
      </c>
      <c r="AB189" s="162" t="s">
        <v>1003</v>
      </c>
      <c r="AC189" s="163">
        <v>42186</v>
      </c>
      <c r="AD189" s="163">
        <v>42277</v>
      </c>
      <c r="AE189" s="211" t="s">
        <v>424</v>
      </c>
      <c r="AF189" s="191"/>
      <c r="AG189" s="166"/>
      <c r="AH189" s="166"/>
      <c r="AI189" s="166"/>
      <c r="AJ189" s="166"/>
      <c r="AK189" s="166"/>
      <c r="AL189" s="166"/>
      <c r="AM189" s="166"/>
      <c r="AN189" s="166">
        <v>20000</v>
      </c>
      <c r="AO189" s="166">
        <v>15000</v>
      </c>
      <c r="AP189" s="166">
        <v>15000</v>
      </c>
      <c r="AQ189" s="166"/>
      <c r="AR189" s="166"/>
      <c r="AS189" s="167">
        <f t="shared" si="66"/>
        <v>50000</v>
      </c>
    </row>
    <row r="190" spans="1:45" ht="102" hidden="1">
      <c r="A190" s="343" t="s">
        <v>952</v>
      </c>
      <c r="B190" s="169">
        <v>40</v>
      </c>
      <c r="C190" s="156" t="s">
        <v>1225</v>
      </c>
      <c r="D190" s="273" t="s">
        <v>609</v>
      </c>
      <c r="E190" s="155" t="s">
        <v>1226</v>
      </c>
      <c r="F190" s="155" t="s">
        <v>1227</v>
      </c>
      <c r="G190" s="155" t="s">
        <v>1228</v>
      </c>
      <c r="H190" s="155" t="s">
        <v>1229</v>
      </c>
      <c r="I190" s="156" t="s">
        <v>1230</v>
      </c>
      <c r="J190" s="157"/>
      <c r="K190" s="157">
        <v>10000</v>
      </c>
      <c r="L190" s="158" t="s">
        <v>1231</v>
      </c>
      <c r="M190" s="159" t="s">
        <v>68</v>
      </c>
      <c r="N190" s="159"/>
      <c r="O190" s="157"/>
      <c r="P190" s="157">
        <v>10000</v>
      </c>
      <c r="Q190" s="160">
        <f t="shared" si="65"/>
        <v>10000</v>
      </c>
      <c r="R190" s="161">
        <v>7000</v>
      </c>
      <c r="S190" s="161"/>
      <c r="T190" s="161">
        <v>3000</v>
      </c>
      <c r="U190" s="161"/>
      <c r="V190" s="161"/>
      <c r="W190" s="161"/>
      <c r="X190" s="161"/>
      <c r="Y190" s="160">
        <f t="shared" si="63"/>
        <v>10000</v>
      </c>
      <c r="Z190" s="162" t="s">
        <v>952</v>
      </c>
      <c r="AA190" s="162" t="s">
        <v>960</v>
      </c>
      <c r="AB190" s="162" t="s">
        <v>1003</v>
      </c>
      <c r="AC190" s="163">
        <v>42217</v>
      </c>
      <c r="AD190" s="163">
        <v>42277</v>
      </c>
      <c r="AE190" s="211" t="s">
        <v>368</v>
      </c>
      <c r="AF190" s="191"/>
      <c r="AG190" s="166"/>
      <c r="AH190" s="166"/>
      <c r="AI190" s="166"/>
      <c r="AJ190" s="166"/>
      <c r="AK190" s="166"/>
      <c r="AL190" s="166"/>
      <c r="AM190" s="166"/>
      <c r="AN190" s="166">
        <v>5000</v>
      </c>
      <c r="AO190" s="166">
        <v>5000</v>
      </c>
      <c r="AP190" s="166"/>
      <c r="AQ190" s="166"/>
      <c r="AR190" s="166"/>
      <c r="AS190" s="167">
        <f t="shared" si="66"/>
        <v>10000</v>
      </c>
    </row>
    <row r="191" spans="1:45" ht="76.5" hidden="1">
      <c r="A191" s="343" t="s">
        <v>952</v>
      </c>
      <c r="B191" s="169">
        <v>41</v>
      </c>
      <c r="C191" s="156" t="s">
        <v>1232</v>
      </c>
      <c r="D191" s="273" t="s">
        <v>609</v>
      </c>
      <c r="E191" s="155" t="s">
        <v>1233</v>
      </c>
      <c r="F191" s="155" t="s">
        <v>1234</v>
      </c>
      <c r="G191" s="155" t="s">
        <v>1235</v>
      </c>
      <c r="H191" s="155" t="s">
        <v>1236</v>
      </c>
      <c r="I191" s="156" t="s">
        <v>1237</v>
      </c>
      <c r="J191" s="157"/>
      <c r="K191" s="157">
        <v>10000</v>
      </c>
      <c r="L191" s="158" t="s">
        <v>1238</v>
      </c>
      <c r="M191" s="159" t="s">
        <v>68</v>
      </c>
      <c r="N191" s="159"/>
      <c r="O191" s="157"/>
      <c r="P191" s="157">
        <v>10000</v>
      </c>
      <c r="Q191" s="160">
        <f t="shared" si="65"/>
        <v>10000</v>
      </c>
      <c r="R191" s="161">
        <v>7000</v>
      </c>
      <c r="S191" s="161"/>
      <c r="T191" s="161">
        <v>3000</v>
      </c>
      <c r="U191" s="161"/>
      <c r="V191" s="161"/>
      <c r="W191" s="161"/>
      <c r="X191" s="161"/>
      <c r="Y191" s="160">
        <f t="shared" si="63"/>
        <v>10000</v>
      </c>
      <c r="Z191" s="162" t="s">
        <v>952</v>
      </c>
      <c r="AA191" s="162" t="s">
        <v>969</v>
      </c>
      <c r="AB191" s="162" t="s">
        <v>995</v>
      </c>
      <c r="AC191" s="163">
        <v>42036</v>
      </c>
      <c r="AD191" s="163">
        <v>42062</v>
      </c>
      <c r="AE191" s="211" t="s">
        <v>368</v>
      </c>
      <c r="AF191" s="191"/>
      <c r="AG191" s="166"/>
      <c r="AH191" s="166"/>
      <c r="AI191" s="166"/>
      <c r="AJ191" s="166"/>
      <c r="AK191" s="166"/>
      <c r="AL191" s="166"/>
      <c r="AM191" s="166"/>
      <c r="AN191" s="166"/>
      <c r="AO191" s="166"/>
      <c r="AP191" s="166">
        <v>10000</v>
      </c>
      <c r="AQ191" s="166"/>
      <c r="AR191" s="166"/>
      <c r="AS191" s="167">
        <f t="shared" si="66"/>
        <v>10000</v>
      </c>
    </row>
    <row r="192" spans="1:45" ht="114.75" hidden="1">
      <c r="A192" s="346" t="s">
        <v>952</v>
      </c>
      <c r="B192" s="169">
        <v>42</v>
      </c>
      <c r="C192" s="156" t="s">
        <v>1239</v>
      </c>
      <c r="D192" s="273" t="s">
        <v>609</v>
      </c>
      <c r="E192" s="155" t="s">
        <v>1240</v>
      </c>
      <c r="F192" s="345" t="s">
        <v>1241</v>
      </c>
      <c r="G192" s="155" t="s">
        <v>1242</v>
      </c>
      <c r="H192" s="345" t="s">
        <v>1243</v>
      </c>
      <c r="I192" s="156" t="s">
        <v>1244</v>
      </c>
      <c r="J192" s="157"/>
      <c r="K192" s="157">
        <v>160000</v>
      </c>
      <c r="L192" s="158" t="s">
        <v>1231</v>
      </c>
      <c r="M192" s="159" t="s">
        <v>68</v>
      </c>
      <c r="N192" s="159"/>
      <c r="O192" s="157"/>
      <c r="P192" s="157">
        <v>64814.68</v>
      </c>
      <c r="Q192" s="160">
        <f t="shared" si="65"/>
        <v>64814.68</v>
      </c>
      <c r="R192" s="161">
        <v>16814.68</v>
      </c>
      <c r="S192" s="161"/>
      <c r="T192" s="161">
        <v>48000</v>
      </c>
      <c r="U192" s="161"/>
      <c r="V192" s="161"/>
      <c r="W192" s="161"/>
      <c r="X192" s="161"/>
      <c r="Y192" s="160">
        <f t="shared" si="63"/>
        <v>64814.68</v>
      </c>
      <c r="Z192" s="162" t="s">
        <v>952</v>
      </c>
      <c r="AA192" s="162" t="s">
        <v>960</v>
      </c>
      <c r="AB192" s="162" t="s">
        <v>1003</v>
      </c>
      <c r="AC192" s="163">
        <v>42064</v>
      </c>
      <c r="AD192" s="163">
        <v>42185</v>
      </c>
      <c r="AE192" s="211" t="s">
        <v>424</v>
      </c>
      <c r="AF192" s="191"/>
      <c r="AG192" s="166"/>
      <c r="AH192" s="166"/>
      <c r="AI192" s="166"/>
      <c r="AJ192" s="166"/>
      <c r="AK192" s="166"/>
      <c r="AL192" s="166"/>
      <c r="AM192" s="166"/>
      <c r="AN192" s="166">
        <f>+Y192</f>
        <v>64814.68</v>
      </c>
      <c r="AO192" s="166"/>
      <c r="AP192" s="166"/>
      <c r="AQ192" s="166"/>
      <c r="AR192" s="166"/>
      <c r="AS192" s="167">
        <f t="shared" si="66"/>
        <v>64814.68</v>
      </c>
    </row>
    <row r="193" spans="1:46" ht="102" hidden="1">
      <c r="A193" s="343" t="s">
        <v>952</v>
      </c>
      <c r="B193" s="169">
        <v>43</v>
      </c>
      <c r="C193" s="156" t="s">
        <v>1245</v>
      </c>
      <c r="D193" s="273" t="s">
        <v>609</v>
      </c>
      <c r="E193" s="155" t="s">
        <v>1246</v>
      </c>
      <c r="F193" s="155" t="s">
        <v>1247</v>
      </c>
      <c r="G193" s="155" t="s">
        <v>1248</v>
      </c>
      <c r="H193" s="155" t="s">
        <v>1249</v>
      </c>
      <c r="I193" s="156" t="s">
        <v>1250</v>
      </c>
      <c r="J193" s="157"/>
      <c r="K193" s="157">
        <v>85000</v>
      </c>
      <c r="L193" s="158" t="s">
        <v>364</v>
      </c>
      <c r="M193" s="159" t="s">
        <v>68</v>
      </c>
      <c r="N193" s="159"/>
      <c r="O193" s="157"/>
      <c r="P193" s="157">
        <v>85000</v>
      </c>
      <c r="Q193" s="160">
        <f t="shared" si="65"/>
        <v>85000</v>
      </c>
      <c r="R193" s="161">
        <v>59500</v>
      </c>
      <c r="S193" s="161"/>
      <c r="T193" s="161">
        <v>25500</v>
      </c>
      <c r="U193" s="161"/>
      <c r="V193" s="161"/>
      <c r="W193" s="161"/>
      <c r="X193" s="161"/>
      <c r="Y193" s="160">
        <f t="shared" si="63"/>
        <v>85000</v>
      </c>
      <c r="Z193" s="162" t="s">
        <v>952</v>
      </c>
      <c r="AA193" s="162" t="s">
        <v>960</v>
      </c>
      <c r="AB193" s="162" t="s">
        <v>1003</v>
      </c>
      <c r="AC193" s="163">
        <v>42217</v>
      </c>
      <c r="AD193" s="163">
        <v>42308</v>
      </c>
      <c r="AE193" s="211" t="s">
        <v>424</v>
      </c>
      <c r="AF193" s="191"/>
      <c r="AG193" s="166"/>
      <c r="AH193" s="166"/>
      <c r="AI193" s="166"/>
      <c r="AJ193" s="166"/>
      <c r="AK193" s="166"/>
      <c r="AL193" s="166"/>
      <c r="AM193" s="166"/>
      <c r="AN193" s="166">
        <v>30000</v>
      </c>
      <c r="AO193" s="166">
        <v>30000</v>
      </c>
      <c r="AP193" s="166">
        <v>25000</v>
      </c>
      <c r="AQ193" s="166"/>
      <c r="AR193" s="166"/>
      <c r="AS193" s="167">
        <f t="shared" si="66"/>
        <v>85000</v>
      </c>
    </row>
    <row r="194" spans="1:46" ht="76.5" hidden="1">
      <c r="A194" s="343" t="s">
        <v>952</v>
      </c>
      <c r="B194" s="169">
        <v>44</v>
      </c>
      <c r="C194" s="156" t="s">
        <v>1251</v>
      </c>
      <c r="D194" s="273" t="s">
        <v>609</v>
      </c>
      <c r="E194" s="155" t="s">
        <v>1252</v>
      </c>
      <c r="F194" s="155" t="s">
        <v>1253</v>
      </c>
      <c r="G194" s="345" t="s">
        <v>1254</v>
      </c>
      <c r="H194" s="155" t="s">
        <v>1255</v>
      </c>
      <c r="I194" s="325" t="s">
        <v>1256</v>
      </c>
      <c r="J194" s="157"/>
      <c r="K194" s="157">
        <v>25000</v>
      </c>
      <c r="L194" s="158" t="s">
        <v>1257</v>
      </c>
      <c r="M194" s="159"/>
      <c r="N194" s="159" t="s">
        <v>114</v>
      </c>
      <c r="O194" s="157"/>
      <c r="P194" s="157">
        <v>25000</v>
      </c>
      <c r="Q194" s="160">
        <f t="shared" si="65"/>
        <v>25000</v>
      </c>
      <c r="R194" s="161">
        <v>17500</v>
      </c>
      <c r="S194" s="161"/>
      <c r="T194" s="161">
        <v>7500</v>
      </c>
      <c r="U194" s="161"/>
      <c r="V194" s="161"/>
      <c r="W194" s="161"/>
      <c r="X194" s="161"/>
      <c r="Y194" s="160">
        <f t="shared" si="63"/>
        <v>25000</v>
      </c>
      <c r="Z194" s="162" t="s">
        <v>952</v>
      </c>
      <c r="AA194" s="162" t="s">
        <v>960</v>
      </c>
      <c r="AB194" s="162" t="s">
        <v>1003</v>
      </c>
      <c r="AC194" s="163">
        <v>42036</v>
      </c>
      <c r="AD194" s="163">
        <v>42094</v>
      </c>
      <c r="AE194" s="211" t="s">
        <v>368</v>
      </c>
      <c r="AF194" s="191"/>
      <c r="AG194" s="166"/>
      <c r="AH194" s="166"/>
      <c r="AI194" s="166"/>
      <c r="AJ194" s="166"/>
      <c r="AK194" s="166"/>
      <c r="AL194" s="166"/>
      <c r="AM194" s="166"/>
      <c r="AN194" s="166">
        <v>14000</v>
      </c>
      <c r="AO194" s="166">
        <v>11000</v>
      </c>
      <c r="AP194" s="166"/>
      <c r="AQ194" s="166"/>
      <c r="AR194" s="166"/>
      <c r="AS194" s="167">
        <f t="shared" si="66"/>
        <v>25000</v>
      </c>
    </row>
    <row r="195" spans="1:46" ht="171.75" hidden="1" customHeight="1">
      <c r="A195" s="343" t="s">
        <v>952</v>
      </c>
      <c r="B195" s="169">
        <v>45</v>
      </c>
      <c r="C195" s="156" t="s">
        <v>1258</v>
      </c>
      <c r="D195" s="273" t="s">
        <v>162</v>
      </c>
      <c r="E195" s="155" t="s">
        <v>1259</v>
      </c>
      <c r="F195" s="155" t="s">
        <v>1260</v>
      </c>
      <c r="G195" s="345" t="s">
        <v>1261</v>
      </c>
      <c r="H195" s="155" t="s">
        <v>1262</v>
      </c>
      <c r="I195" s="325" t="s">
        <v>1263</v>
      </c>
      <c r="J195" s="157">
        <v>6754466.5</v>
      </c>
      <c r="K195" s="157"/>
      <c r="L195" s="158">
        <v>341027</v>
      </c>
      <c r="M195" s="159" t="s">
        <v>1264</v>
      </c>
      <c r="N195" s="159"/>
      <c r="O195" s="157"/>
      <c r="P195" s="157">
        <f>+J195</f>
        <v>6754466.5</v>
      </c>
      <c r="Q195" s="160">
        <f t="shared" si="65"/>
        <v>6754466.5</v>
      </c>
      <c r="R195" s="161">
        <v>1655746.83</v>
      </c>
      <c r="S195" s="161"/>
      <c r="T195" s="161"/>
      <c r="U195" s="161"/>
      <c r="V195" s="161"/>
      <c r="W195" s="161"/>
      <c r="X195" s="161">
        <v>5098719.67</v>
      </c>
      <c r="Y195" s="160">
        <f>SUM(R195:X195)</f>
        <v>6754466.5</v>
      </c>
      <c r="Z195" s="162" t="s">
        <v>952</v>
      </c>
      <c r="AA195" s="162" t="s">
        <v>969</v>
      </c>
      <c r="AB195" s="162" t="s">
        <v>1265</v>
      </c>
      <c r="AC195" s="163">
        <v>42095</v>
      </c>
      <c r="AD195" s="163">
        <v>42369</v>
      </c>
      <c r="AE195" s="211" t="s">
        <v>488</v>
      </c>
      <c r="AF195" s="191"/>
      <c r="AG195" s="166">
        <v>10867.399012020171</v>
      </c>
      <c r="AH195" s="166">
        <v>154882.78454064249</v>
      </c>
      <c r="AI195" s="166">
        <v>525692.5520210315</v>
      </c>
      <c r="AJ195" s="166">
        <v>656963.08680217608</v>
      </c>
      <c r="AK195" s="166">
        <v>585008.69230461924</v>
      </c>
      <c r="AL195" s="166">
        <v>1039454.0651356982</v>
      </c>
      <c r="AM195" s="166">
        <v>1118810.6760794113</v>
      </c>
      <c r="AN195" s="166">
        <v>1254448.4266731211</v>
      </c>
      <c r="AO195" s="166">
        <v>678201.96386699611</v>
      </c>
      <c r="AP195" s="166">
        <v>282659.02682174364</v>
      </c>
      <c r="AQ195" s="166">
        <v>234119.36341210961</v>
      </c>
      <c r="AR195" s="166">
        <v>213358.46529611526</v>
      </c>
      <c r="AS195" s="167">
        <f>SUM(AG195:AR195)</f>
        <v>6754466.501965683</v>
      </c>
    </row>
    <row r="196" spans="1:46" ht="171.75" hidden="1" customHeight="1">
      <c r="A196" s="352" t="s">
        <v>952</v>
      </c>
      <c r="B196" s="169">
        <v>47</v>
      </c>
      <c r="C196" s="156" t="s">
        <v>1266</v>
      </c>
      <c r="D196" s="273" t="s">
        <v>162</v>
      </c>
      <c r="E196" s="155"/>
      <c r="F196" s="155"/>
      <c r="G196" s="345"/>
      <c r="H196" s="155"/>
      <c r="I196" s="325"/>
      <c r="J196" s="157"/>
      <c r="K196" s="157"/>
      <c r="L196" s="158"/>
      <c r="M196" s="159"/>
      <c r="N196" s="159"/>
      <c r="O196" s="157"/>
      <c r="P196" s="157">
        <v>71212.56</v>
      </c>
      <c r="Q196" s="160">
        <f>+O196+P196</f>
        <v>71212.56</v>
      </c>
      <c r="R196" s="161">
        <v>71212.56</v>
      </c>
      <c r="S196" s="161"/>
      <c r="T196" s="161"/>
      <c r="U196" s="161"/>
      <c r="V196" s="161"/>
      <c r="W196" s="161"/>
      <c r="X196" s="161"/>
      <c r="Y196" s="160">
        <f>SUM(R196:X196)</f>
        <v>71212.56</v>
      </c>
      <c r="Z196" s="162"/>
      <c r="AA196" s="162"/>
      <c r="AB196" s="162"/>
      <c r="AC196" s="163"/>
      <c r="AD196" s="163"/>
      <c r="AE196" s="211"/>
      <c r="AF196" s="191"/>
      <c r="AG196" s="166"/>
      <c r="AH196" s="166"/>
      <c r="AI196" s="166"/>
      <c r="AJ196" s="166"/>
      <c r="AK196" s="166"/>
      <c r="AL196" s="166"/>
      <c r="AM196" s="166"/>
      <c r="AN196" s="166">
        <v>71212.56</v>
      </c>
      <c r="AO196" s="166"/>
      <c r="AP196" s="166"/>
      <c r="AQ196" s="166"/>
      <c r="AR196" s="166"/>
      <c r="AS196" s="167">
        <f>SUM(AG196:AR196)</f>
        <v>71212.56</v>
      </c>
      <c r="AT196" s="353" t="s">
        <v>1267</v>
      </c>
    </row>
    <row r="197" spans="1:46" ht="171.75" hidden="1" customHeight="1">
      <c r="A197" s="352" t="s">
        <v>952</v>
      </c>
      <c r="B197" s="169">
        <v>48</v>
      </c>
      <c r="C197" s="273" t="s">
        <v>1268</v>
      </c>
      <c r="D197" s="273" t="s">
        <v>162</v>
      </c>
      <c r="E197" s="155"/>
      <c r="F197" s="155"/>
      <c r="G197" s="345"/>
      <c r="H197" s="155"/>
      <c r="I197" s="325"/>
      <c r="J197" s="157"/>
      <c r="K197" s="157"/>
      <c r="L197" s="158"/>
      <c r="M197" s="159"/>
      <c r="N197" s="159"/>
      <c r="O197" s="157"/>
      <c r="P197" s="157">
        <v>6000</v>
      </c>
      <c r="Q197" s="160">
        <f>+O197+P197</f>
        <v>6000</v>
      </c>
      <c r="R197" s="161">
        <v>6000</v>
      </c>
      <c r="S197" s="161"/>
      <c r="T197" s="161"/>
      <c r="U197" s="161"/>
      <c r="V197" s="161"/>
      <c r="W197" s="161"/>
      <c r="X197" s="161"/>
      <c r="Y197" s="160">
        <f>SUM(R197:X197)</f>
        <v>6000</v>
      </c>
      <c r="Z197" s="162"/>
      <c r="AA197" s="162"/>
      <c r="AB197" s="162"/>
      <c r="AC197" s="163"/>
      <c r="AD197" s="163"/>
      <c r="AE197" s="211"/>
      <c r="AF197" s="191"/>
      <c r="AG197" s="166"/>
      <c r="AH197" s="166"/>
      <c r="AI197" s="166"/>
      <c r="AJ197" s="166"/>
      <c r="AK197" s="166"/>
      <c r="AL197" s="166"/>
      <c r="AM197" s="166"/>
      <c r="AN197" s="166">
        <v>6000</v>
      </c>
      <c r="AO197" s="166"/>
      <c r="AP197" s="166"/>
      <c r="AQ197" s="166"/>
      <c r="AR197" s="166"/>
      <c r="AS197" s="167">
        <f>SUM(AG197:AR197)</f>
        <v>6000</v>
      </c>
      <c r="AT197" s="353" t="s">
        <v>1267</v>
      </c>
    </row>
    <row r="198" spans="1:46" ht="171.75" hidden="1" customHeight="1">
      <c r="A198" s="352" t="s">
        <v>952</v>
      </c>
      <c r="B198" s="169">
        <v>49</v>
      </c>
      <c r="C198" s="273" t="s">
        <v>1269</v>
      </c>
      <c r="D198" s="273" t="s">
        <v>162</v>
      </c>
      <c r="E198" s="155"/>
      <c r="F198" s="155"/>
      <c r="G198" s="345"/>
      <c r="H198" s="155"/>
      <c r="I198" s="325"/>
      <c r="J198" s="157"/>
      <c r="K198" s="157"/>
      <c r="L198" s="158"/>
      <c r="M198" s="159"/>
      <c r="N198" s="159"/>
      <c r="O198" s="157"/>
      <c r="P198" s="157">
        <v>318913.11</v>
      </c>
      <c r="Q198" s="160">
        <v>318913.11</v>
      </c>
      <c r="R198" s="161">
        <v>318913.11</v>
      </c>
      <c r="S198" s="161"/>
      <c r="T198" s="161"/>
      <c r="U198" s="161"/>
      <c r="V198" s="161"/>
      <c r="W198" s="161"/>
      <c r="X198" s="161"/>
      <c r="Y198" s="160">
        <f>SUM(R198:X198)</f>
        <v>318913.11</v>
      </c>
      <c r="Z198" s="162"/>
      <c r="AA198" s="162"/>
      <c r="AB198" s="162"/>
      <c r="AC198" s="163"/>
      <c r="AD198" s="163"/>
      <c r="AE198" s="211"/>
      <c r="AF198" s="191"/>
      <c r="AG198" s="166"/>
      <c r="AH198" s="166"/>
      <c r="AI198" s="166"/>
      <c r="AJ198" s="166"/>
      <c r="AK198" s="166"/>
      <c r="AL198" s="166"/>
      <c r="AM198" s="166"/>
      <c r="AN198" s="166">
        <f>+Y198</f>
        <v>318913.11</v>
      </c>
      <c r="AO198" s="166"/>
      <c r="AP198" s="166"/>
      <c r="AQ198" s="166"/>
      <c r="AR198" s="166"/>
      <c r="AS198" s="167">
        <f>SUM(AG198:AR198)</f>
        <v>318913.11</v>
      </c>
      <c r="AT198" s="353" t="s">
        <v>1267</v>
      </c>
    </row>
    <row r="199" spans="1:46" hidden="1">
      <c r="A199" s="354"/>
      <c r="B199" s="355"/>
      <c r="C199" s="356"/>
      <c r="D199" s="356"/>
      <c r="E199" s="356"/>
      <c r="F199" s="356"/>
      <c r="G199" s="356"/>
      <c r="H199" s="356"/>
      <c r="I199" s="356"/>
      <c r="J199" s="173">
        <f>SUM(J151:J198)</f>
        <v>7459140.25</v>
      </c>
      <c r="K199" s="173">
        <f t="shared" ref="K199:AS199" si="67">SUM(K151:K198)</f>
        <v>3656140.15</v>
      </c>
      <c r="L199" s="173">
        <f t="shared" si="67"/>
        <v>341027</v>
      </c>
      <c r="M199" s="173">
        <f t="shared" si="67"/>
        <v>0</v>
      </c>
      <c r="N199" s="173">
        <f t="shared" si="67"/>
        <v>0</v>
      </c>
      <c r="O199" s="173">
        <f t="shared" si="67"/>
        <v>548912.02</v>
      </c>
      <c r="P199" s="173">
        <f t="shared" si="67"/>
        <v>9757048.6699999999</v>
      </c>
      <c r="Q199" s="173">
        <f t="shared" si="67"/>
        <v>10305960.689999999</v>
      </c>
      <c r="R199" s="173">
        <f t="shared" si="67"/>
        <v>4187598.9699999997</v>
      </c>
      <c r="S199" s="173">
        <f t="shared" si="67"/>
        <v>0</v>
      </c>
      <c r="T199" s="173">
        <f t="shared" si="67"/>
        <v>1098842.0469999998</v>
      </c>
      <c r="U199" s="173">
        <f t="shared" si="67"/>
        <v>0</v>
      </c>
      <c r="V199" s="173">
        <f t="shared" si="67"/>
        <v>0</v>
      </c>
      <c r="W199" s="173">
        <f t="shared" si="67"/>
        <v>0</v>
      </c>
      <c r="X199" s="173">
        <f t="shared" si="67"/>
        <v>5098719.67</v>
      </c>
      <c r="Y199" s="173">
        <f t="shared" si="67"/>
        <v>10385160.686999999</v>
      </c>
      <c r="Z199" s="173">
        <f t="shared" si="67"/>
        <v>0</v>
      </c>
      <c r="AA199" s="173">
        <f t="shared" si="67"/>
        <v>0</v>
      </c>
      <c r="AB199" s="173">
        <f t="shared" si="67"/>
        <v>0</v>
      </c>
      <c r="AC199" s="173">
        <f t="shared" si="67"/>
        <v>1894862</v>
      </c>
      <c r="AD199" s="173">
        <f t="shared" si="67"/>
        <v>1857861</v>
      </c>
      <c r="AE199" s="173">
        <f t="shared" si="67"/>
        <v>0</v>
      </c>
      <c r="AF199" s="173">
        <f t="shared" si="67"/>
        <v>0</v>
      </c>
      <c r="AG199" s="173">
        <f t="shared" si="67"/>
        <v>10867.399012020171</v>
      </c>
      <c r="AH199" s="173">
        <f t="shared" si="67"/>
        <v>154882.78454064249</v>
      </c>
      <c r="AI199" s="173">
        <f t="shared" si="67"/>
        <v>525692.5520210315</v>
      </c>
      <c r="AJ199" s="173">
        <f t="shared" si="67"/>
        <v>656963.08680217608</v>
      </c>
      <c r="AK199" s="173">
        <f t="shared" si="67"/>
        <v>585008.69230461924</v>
      </c>
      <c r="AL199" s="173">
        <f t="shared" si="67"/>
        <v>1139454.0651356983</v>
      </c>
      <c r="AM199" s="173">
        <f t="shared" si="67"/>
        <v>1347810.6760794113</v>
      </c>
      <c r="AN199" s="173">
        <f t="shared" si="67"/>
        <v>2993393.3166731209</v>
      </c>
      <c r="AO199" s="173">
        <f t="shared" si="67"/>
        <v>1228451.9638669961</v>
      </c>
      <c r="AP199" s="173">
        <f t="shared" si="67"/>
        <v>778909.0268217437</v>
      </c>
      <c r="AQ199" s="173">
        <f t="shared" si="67"/>
        <v>620369.36341210967</v>
      </c>
      <c r="AR199" s="173">
        <f t="shared" si="67"/>
        <v>343358.46529611526</v>
      </c>
      <c r="AS199" s="173">
        <f t="shared" si="67"/>
        <v>10385161.391965682</v>
      </c>
    </row>
    <row r="200" spans="1:46" ht="127.5" hidden="1">
      <c r="A200" s="357" t="s">
        <v>1270</v>
      </c>
      <c r="B200" s="358">
        <v>1</v>
      </c>
      <c r="C200" s="156" t="s">
        <v>1271</v>
      </c>
      <c r="D200" s="359" t="s">
        <v>1272</v>
      </c>
      <c r="E200" s="360" t="s">
        <v>1273</v>
      </c>
      <c r="F200" s="360" t="s">
        <v>1274</v>
      </c>
      <c r="G200" s="360" t="s">
        <v>1275</v>
      </c>
      <c r="H200" s="360" t="s">
        <v>1276</v>
      </c>
      <c r="I200" s="361" t="s">
        <v>1277</v>
      </c>
      <c r="J200" s="157">
        <f>1525803.47*1.12</f>
        <v>1708899.8864000002</v>
      </c>
      <c r="K200" s="362"/>
      <c r="L200" s="363" t="s">
        <v>1278</v>
      </c>
      <c r="M200" s="364" t="s">
        <v>68</v>
      </c>
      <c r="N200" s="364"/>
      <c r="O200" s="365"/>
      <c r="P200" s="366">
        <v>1708899.89</v>
      </c>
      <c r="Q200" s="160">
        <f>1525803.47*1.12</f>
        <v>1708899.8864000002</v>
      </c>
      <c r="R200" s="367">
        <f>309751.95*1.12</f>
        <v>346922.18400000007</v>
      </c>
      <c r="S200" s="368"/>
      <c r="T200" s="368"/>
      <c r="U200" s="368"/>
      <c r="V200" s="367"/>
      <c r="W200" s="367"/>
      <c r="X200" s="368">
        <f>1216051.52*1.12</f>
        <v>1361977.7024000001</v>
      </c>
      <c r="Y200" s="160">
        <f>SUM(R200:X200)</f>
        <v>1708899.8864000002</v>
      </c>
      <c r="Z200" s="369" t="s">
        <v>1279</v>
      </c>
      <c r="AA200" s="369" t="s">
        <v>1280</v>
      </c>
      <c r="AB200" s="369" t="s">
        <v>1281</v>
      </c>
      <c r="AC200" s="370">
        <v>42236</v>
      </c>
      <c r="AD200" s="370">
        <v>42369</v>
      </c>
      <c r="AE200" s="371" t="s">
        <v>72</v>
      </c>
      <c r="AF200" s="372"/>
      <c r="AG200" s="166">
        <v>0</v>
      </c>
      <c r="AH200" s="166">
        <v>0</v>
      </c>
      <c r="AI200" s="166">
        <v>0</v>
      </c>
      <c r="AJ200" s="166">
        <v>0</v>
      </c>
      <c r="AK200" s="166">
        <v>0</v>
      </c>
      <c r="AL200" s="166">
        <v>0</v>
      </c>
      <c r="AM200" s="166">
        <v>0</v>
      </c>
      <c r="AN200" s="166">
        <f>3687352.36*0.3*1.12</f>
        <v>1238950.3929600001</v>
      </c>
      <c r="AO200" s="166">
        <f>72802*0.7*1.12</f>
        <v>57076.767999999996</v>
      </c>
      <c r="AP200" s="166">
        <f>118745.9*0.7*1.12</f>
        <v>93096.785600000003</v>
      </c>
      <c r="AQ200" s="166">
        <f>153351.92*0.7*1.12</f>
        <v>120227.90528000001</v>
      </c>
      <c r="AR200" s="166">
        <f>254525.56*0.7*1.12</f>
        <v>199548.03904</v>
      </c>
      <c r="AS200" s="167">
        <f t="shared" ref="AS200:AS211" si="68">+SUM(AG200:AR200)</f>
        <v>1708899.8908800001</v>
      </c>
    </row>
    <row r="201" spans="1:46" ht="140.25" hidden="1">
      <c r="A201" s="357" t="s">
        <v>1270</v>
      </c>
      <c r="B201" s="358">
        <f>1+B200</f>
        <v>2</v>
      </c>
      <c r="C201" s="156" t="s">
        <v>1282</v>
      </c>
      <c r="D201" s="373" t="s">
        <v>1272</v>
      </c>
      <c r="E201" s="374" t="s">
        <v>1283</v>
      </c>
      <c r="F201" s="374" t="s">
        <v>1284</v>
      </c>
      <c r="G201" s="374" t="s">
        <v>1285</v>
      </c>
      <c r="H201" s="374" t="s">
        <v>1286</v>
      </c>
      <c r="I201" s="375" t="s">
        <v>1287</v>
      </c>
      <c r="J201" s="157">
        <f>2814436.86*1.12</f>
        <v>3152169.2831999999</v>
      </c>
      <c r="K201" s="365"/>
      <c r="L201" s="363" t="s">
        <v>1278</v>
      </c>
      <c r="M201" s="364" t="s">
        <v>68</v>
      </c>
      <c r="N201" s="376"/>
      <c r="O201" s="365"/>
      <c r="P201" s="377">
        <v>3152169.28</v>
      </c>
      <c r="Q201" s="160">
        <f t="shared" ref="Q201:Q210" si="69">+P201+O201</f>
        <v>3152169.28</v>
      </c>
      <c r="R201" s="378">
        <v>0</v>
      </c>
      <c r="S201" s="161"/>
      <c r="T201" s="161"/>
      <c r="U201" s="161"/>
      <c r="V201" s="378"/>
      <c r="W201" s="378"/>
      <c r="X201" s="161">
        <f>2814436.86*1.12</f>
        <v>3152169.2831999999</v>
      </c>
      <c r="Y201" s="160">
        <f t="shared" ref="Y201:Y211" si="70">SUM(R201:X201)</f>
        <v>3152169.2831999999</v>
      </c>
      <c r="Z201" s="369" t="s">
        <v>1279</v>
      </c>
      <c r="AA201" s="369" t="s">
        <v>1280</v>
      </c>
      <c r="AB201" s="369" t="s">
        <v>1281</v>
      </c>
      <c r="AC201" s="370">
        <v>42236</v>
      </c>
      <c r="AD201" s="370">
        <v>42369</v>
      </c>
      <c r="AE201" s="371" t="s">
        <v>72</v>
      </c>
      <c r="AF201" s="379"/>
      <c r="AG201" s="166">
        <v>0</v>
      </c>
      <c r="AH201" s="166">
        <v>0</v>
      </c>
      <c r="AI201" s="166">
        <v>0</v>
      </c>
      <c r="AJ201" s="166">
        <v>0</v>
      </c>
      <c r="AK201" s="166">
        <v>0</v>
      </c>
      <c r="AL201" s="166">
        <v>0</v>
      </c>
      <c r="AM201" s="166">
        <v>0</v>
      </c>
      <c r="AN201" s="166">
        <f>+SUM(3842560.59+3500679.14)*0.3*1.12</f>
        <v>2467328.5492800004</v>
      </c>
      <c r="AO201" s="166">
        <f>106262.04*0.7*1.12</f>
        <v>83309.439359999989</v>
      </c>
      <c r="AP201" s="166">
        <f>+SUM(41522.18+139964.93)*0.7*1.12</f>
        <v>142285.89423999999</v>
      </c>
      <c r="AQ201" s="166">
        <f>+SUM(128941.32+142227.89)*0.7*1.12</f>
        <v>212596.66064000005</v>
      </c>
      <c r="AR201" s="166">
        <f>+SUM(171574.26+143028.72)*0.7*1.12</f>
        <v>246648.73632</v>
      </c>
      <c r="AS201" s="167">
        <f t="shared" si="68"/>
        <v>3152169.2798400004</v>
      </c>
    </row>
    <row r="202" spans="1:46" ht="165.75" hidden="1">
      <c r="A202" s="357" t="s">
        <v>1270</v>
      </c>
      <c r="B202" s="358">
        <f t="shared" ref="B202:B211" si="71">1+B201</f>
        <v>3</v>
      </c>
      <c r="C202" s="156" t="s">
        <v>1288</v>
      </c>
      <c r="D202" s="373" t="s">
        <v>1289</v>
      </c>
      <c r="E202" s="374" t="s">
        <v>1290</v>
      </c>
      <c r="F202" s="374" t="s">
        <v>1291</v>
      </c>
      <c r="G202" s="374" t="s">
        <v>1292</v>
      </c>
      <c r="H202" s="374" t="s">
        <v>1293</v>
      </c>
      <c r="I202" s="375" t="s">
        <v>1294</v>
      </c>
      <c r="J202" s="157">
        <f>60000*1.12</f>
        <v>67200</v>
      </c>
      <c r="K202" s="365"/>
      <c r="L202" s="363" t="s">
        <v>1278</v>
      </c>
      <c r="M202" s="364" t="s">
        <v>68</v>
      </c>
      <c r="N202" s="376"/>
      <c r="O202" s="365">
        <v>67200</v>
      </c>
      <c r="P202" s="377"/>
      <c r="Q202" s="160">
        <f t="shared" si="69"/>
        <v>67200</v>
      </c>
      <c r="R202" s="378">
        <f>+Q202</f>
        <v>67200</v>
      </c>
      <c r="S202" s="161"/>
      <c r="T202" s="161"/>
      <c r="U202" s="161"/>
      <c r="V202" s="378"/>
      <c r="W202" s="378"/>
      <c r="X202" s="161"/>
      <c r="Y202" s="160">
        <f t="shared" si="70"/>
        <v>67200</v>
      </c>
      <c r="Z202" s="369" t="s">
        <v>1279</v>
      </c>
      <c r="AA202" s="369" t="s">
        <v>1280</v>
      </c>
      <c r="AB202" s="369" t="s">
        <v>1295</v>
      </c>
      <c r="AC202" s="370">
        <v>42236</v>
      </c>
      <c r="AD202" s="370">
        <v>42369</v>
      </c>
      <c r="AE202" s="371" t="s">
        <v>72</v>
      </c>
      <c r="AF202" s="379"/>
      <c r="AG202" s="166">
        <v>0</v>
      </c>
      <c r="AH202" s="166">
        <v>0</v>
      </c>
      <c r="AI202" s="166">
        <v>0</v>
      </c>
      <c r="AJ202" s="166">
        <v>0</v>
      </c>
      <c r="AK202" s="166">
        <v>0</v>
      </c>
      <c r="AL202" s="166">
        <v>0</v>
      </c>
      <c r="AM202" s="166">
        <v>0</v>
      </c>
      <c r="AN202" s="166">
        <f>67200*0.3</f>
        <v>20160</v>
      </c>
      <c r="AO202" s="166">
        <f>47040/4</f>
        <v>11760</v>
      </c>
      <c r="AP202" s="166">
        <f t="shared" ref="AP202:AR202" si="72">47040/4</f>
        <v>11760</v>
      </c>
      <c r="AQ202" s="166">
        <f t="shared" si="72"/>
        <v>11760</v>
      </c>
      <c r="AR202" s="166">
        <f t="shared" si="72"/>
        <v>11760</v>
      </c>
      <c r="AS202" s="167">
        <f t="shared" ref="AS202" si="73">+SUM(AG202:AR202)</f>
        <v>67200</v>
      </c>
    </row>
    <row r="203" spans="1:46" ht="153" hidden="1">
      <c r="A203" s="357" t="s">
        <v>1270</v>
      </c>
      <c r="B203" s="358">
        <f t="shared" si="71"/>
        <v>4</v>
      </c>
      <c r="C203" s="156" t="s">
        <v>1296</v>
      </c>
      <c r="D203" s="373" t="s">
        <v>1272</v>
      </c>
      <c r="E203" s="380" t="s">
        <v>1297</v>
      </c>
      <c r="F203" s="380" t="s">
        <v>1298</v>
      </c>
      <c r="G203" s="380" t="s">
        <v>1299</v>
      </c>
      <c r="H203" s="380" t="s">
        <v>1300</v>
      </c>
      <c r="I203" s="381" t="s">
        <v>1301</v>
      </c>
      <c r="J203" s="157">
        <f>4100935.84*1.12</f>
        <v>4593048.1408000002</v>
      </c>
      <c r="K203" s="382"/>
      <c r="L203" s="363" t="s">
        <v>1278</v>
      </c>
      <c r="M203" s="364" t="s">
        <v>68</v>
      </c>
      <c r="N203" s="383"/>
      <c r="O203" s="382"/>
      <c r="P203" s="377">
        <v>4593048.1399999997</v>
      </c>
      <c r="Q203" s="160">
        <f t="shared" si="69"/>
        <v>4593048.1399999997</v>
      </c>
      <c r="R203" s="384">
        <f>1213324.91*1.12</f>
        <v>1358923.8992000001</v>
      </c>
      <c r="S203" s="385"/>
      <c r="T203" s="385"/>
      <c r="U203" s="385"/>
      <c r="V203" s="386"/>
      <c r="W203" s="386"/>
      <c r="X203" s="387">
        <f>2887610.93*1.12</f>
        <v>3234124.2416000003</v>
      </c>
      <c r="Y203" s="160">
        <f t="shared" si="70"/>
        <v>4593048.1408000002</v>
      </c>
      <c r="Z203" s="369" t="s">
        <v>1279</v>
      </c>
      <c r="AA203" s="369" t="s">
        <v>1280</v>
      </c>
      <c r="AB203" s="369" t="s">
        <v>1281</v>
      </c>
      <c r="AC203" s="370">
        <v>42236</v>
      </c>
      <c r="AD203" s="370">
        <v>42369</v>
      </c>
      <c r="AE203" s="371" t="s">
        <v>72</v>
      </c>
      <c r="AF203" s="372"/>
      <c r="AG203" s="166">
        <v>0</v>
      </c>
      <c r="AH203" s="166">
        <v>0</v>
      </c>
      <c r="AI203" s="166">
        <v>0</v>
      </c>
      <c r="AJ203" s="166">
        <v>0</v>
      </c>
      <c r="AK203" s="166">
        <v>0</v>
      </c>
      <c r="AL203" s="166">
        <v>0</v>
      </c>
      <c r="AM203" s="166">
        <v>0</v>
      </c>
      <c r="AN203" s="166">
        <f>12408725.49*0.3*1.12</f>
        <v>4169331.7646400002</v>
      </c>
      <c r="AO203" s="166">
        <f>52381.29*0.7*1.12</f>
        <v>41066.931360000002</v>
      </c>
      <c r="AP203" s="166">
        <f>76123.11*0.7*1.12</f>
        <v>59680.518240000005</v>
      </c>
      <c r="AQ203" s="166">
        <f>192448.18*0.7*1.12</f>
        <v>150879.37312</v>
      </c>
      <c r="AR203" s="166">
        <f>219501.98*0.7*1.12</f>
        <v>172089.55232000002</v>
      </c>
      <c r="AS203" s="167">
        <f t="shared" ref="AS203" si="74">+SUM(AG203:AR203)</f>
        <v>4593048.13968</v>
      </c>
    </row>
    <row r="204" spans="1:46" ht="127.5" hidden="1">
      <c r="A204" s="357" t="s">
        <v>1270</v>
      </c>
      <c r="B204" s="358">
        <f t="shared" si="71"/>
        <v>5</v>
      </c>
      <c r="C204" s="156" t="s">
        <v>1302</v>
      </c>
      <c r="D204" s="373" t="s">
        <v>1272</v>
      </c>
      <c r="E204" s="374" t="s">
        <v>1303</v>
      </c>
      <c r="F204" s="374" t="s">
        <v>1304</v>
      </c>
      <c r="G204" s="374" t="s">
        <v>1305</v>
      </c>
      <c r="H204" s="374" t="s">
        <v>1306</v>
      </c>
      <c r="I204" s="375" t="s">
        <v>1307</v>
      </c>
      <c r="J204" s="157">
        <f>8756191.22*1.12</f>
        <v>9806934.1664000023</v>
      </c>
      <c r="K204" s="365"/>
      <c r="L204" s="363" t="s">
        <v>1278</v>
      </c>
      <c r="M204" s="364" t="s">
        <v>68</v>
      </c>
      <c r="N204" s="376"/>
      <c r="O204" s="365"/>
      <c r="P204" s="377">
        <v>9806934.1500000004</v>
      </c>
      <c r="Q204" s="160">
        <f t="shared" si="69"/>
        <v>9806934.1500000004</v>
      </c>
      <c r="R204" s="378"/>
      <c r="S204" s="161"/>
      <c r="T204" s="161"/>
      <c r="U204" s="161"/>
      <c r="V204" s="378">
        <v>321603.73</v>
      </c>
      <c r="W204" s="378"/>
      <c r="X204" s="161">
        <f>8469045.02*1.12</f>
        <v>9485330.4223999996</v>
      </c>
      <c r="Y204" s="160">
        <f t="shared" si="70"/>
        <v>9806934.1524</v>
      </c>
      <c r="Z204" s="369" t="s">
        <v>1279</v>
      </c>
      <c r="AA204" s="369" t="s">
        <v>1280</v>
      </c>
      <c r="AB204" s="369" t="s">
        <v>1281</v>
      </c>
      <c r="AC204" s="370">
        <v>42236</v>
      </c>
      <c r="AD204" s="370">
        <v>42369</v>
      </c>
      <c r="AE204" s="371" t="s">
        <v>72</v>
      </c>
      <c r="AF204" s="379"/>
      <c r="AG204" s="166">
        <v>0</v>
      </c>
      <c r="AH204" s="166">
        <v>0</v>
      </c>
      <c r="AI204" s="166">
        <v>0</v>
      </c>
      <c r="AJ204" s="166">
        <v>0</v>
      </c>
      <c r="AK204" s="166">
        <v>0</v>
      </c>
      <c r="AL204" s="166">
        <v>0</v>
      </c>
      <c r="AM204" s="166">
        <v>0</v>
      </c>
      <c r="AN204" s="166">
        <f>24150288.6*0.3*1.12</f>
        <v>8114496.9696000004</v>
      </c>
      <c r="AO204" s="166">
        <f>463678.05*0.7*1.12</f>
        <v>363523.59119999997</v>
      </c>
      <c r="AP204" s="166">
        <f>583362.99*0.7*1.12</f>
        <v>457356.58416000003</v>
      </c>
      <c r="AQ204" s="166">
        <f>561697.99*0.7*1.12</f>
        <v>440371.22416000004</v>
      </c>
      <c r="AR204" s="166">
        <f>549981.88*0.7*1.12</f>
        <v>431185.79392000003</v>
      </c>
      <c r="AS204" s="167">
        <f t="shared" si="68"/>
        <v>9806934.1630400009</v>
      </c>
    </row>
    <row r="205" spans="1:46" ht="127.5" hidden="1">
      <c r="A205" s="357" t="s">
        <v>1270</v>
      </c>
      <c r="B205" s="358">
        <f t="shared" si="71"/>
        <v>6</v>
      </c>
      <c r="C205" s="156" t="s">
        <v>1308</v>
      </c>
      <c r="D205" s="373" t="s">
        <v>1272</v>
      </c>
      <c r="E205" s="374" t="s">
        <v>1309</v>
      </c>
      <c r="F205" s="374" t="s">
        <v>1310</v>
      </c>
      <c r="G205" s="374" t="s">
        <v>1311</v>
      </c>
      <c r="H205" s="374" t="s">
        <v>1312</v>
      </c>
      <c r="I205" s="375" t="s">
        <v>1313</v>
      </c>
      <c r="J205" s="157">
        <f>1610837.96*1.12</f>
        <v>1804138.5152</v>
      </c>
      <c r="K205" s="388"/>
      <c r="L205" s="363" t="s">
        <v>1278</v>
      </c>
      <c r="M205" s="364" t="s">
        <v>68</v>
      </c>
      <c r="N205" s="389"/>
      <c r="O205" s="388"/>
      <c r="P205" s="377">
        <v>1804138.52</v>
      </c>
      <c r="Q205" s="160">
        <f t="shared" si="69"/>
        <v>1804138.52</v>
      </c>
      <c r="R205" s="390">
        <f>605451.26*1.12</f>
        <v>678105.41120000009</v>
      </c>
      <c r="S205" s="391">
        <f>+SUM(S200:S204)</f>
        <v>0</v>
      </c>
      <c r="T205" s="391">
        <f>+SUM(T200:T204)</f>
        <v>0</v>
      </c>
      <c r="U205" s="391">
        <f>+SUM(U200:U204)</f>
        <v>0</v>
      </c>
      <c r="V205" s="390"/>
      <c r="W205" s="386">
        <f>35911.77*1.12</f>
        <v>40221.182399999998</v>
      </c>
      <c r="X205" s="392">
        <f>969474.93*1.12</f>
        <v>1085811.9216000002</v>
      </c>
      <c r="Y205" s="160">
        <f t="shared" si="70"/>
        <v>1804138.5152000003</v>
      </c>
      <c r="Z205" s="369" t="s">
        <v>1279</v>
      </c>
      <c r="AA205" s="369" t="s">
        <v>1280</v>
      </c>
      <c r="AB205" s="369" t="s">
        <v>1281</v>
      </c>
      <c r="AC205" s="370">
        <v>42236</v>
      </c>
      <c r="AD205" s="370">
        <v>42369</v>
      </c>
      <c r="AE205" s="371" t="s">
        <v>72</v>
      </c>
      <c r="AF205" s="372"/>
      <c r="AG205" s="166">
        <v>0</v>
      </c>
      <c r="AH205" s="166">
        <v>0</v>
      </c>
      <c r="AI205" s="166">
        <v>0</v>
      </c>
      <c r="AJ205" s="166">
        <v>0</v>
      </c>
      <c r="AK205" s="166">
        <v>0</v>
      </c>
      <c r="AL205" s="166">
        <v>0</v>
      </c>
      <c r="AM205" s="166">
        <v>0</v>
      </c>
      <c r="AN205" s="166">
        <f>4334244.43*0.3*1.12</f>
        <v>1456306.12848</v>
      </c>
      <c r="AO205" s="166">
        <v>0</v>
      </c>
      <c r="AP205" s="166">
        <f>116625.27*0.7*1.12</f>
        <v>91434.211680000008</v>
      </c>
      <c r="AQ205" s="166">
        <f>152147.41*0.7*1.12</f>
        <v>119283.56944000001</v>
      </c>
      <c r="AR205" s="166">
        <f>174891.08*0.7*1.12</f>
        <v>137114.60671999998</v>
      </c>
      <c r="AS205" s="167">
        <f t="shared" si="68"/>
        <v>1804138.5163199999</v>
      </c>
    </row>
    <row r="206" spans="1:46" ht="204" hidden="1">
      <c r="A206" s="357" t="s">
        <v>1270</v>
      </c>
      <c r="B206" s="358">
        <f t="shared" si="71"/>
        <v>7</v>
      </c>
      <c r="C206" s="156" t="s">
        <v>1314</v>
      </c>
      <c r="D206" s="373" t="s">
        <v>1289</v>
      </c>
      <c r="E206" s="380" t="s">
        <v>1315</v>
      </c>
      <c r="F206" s="380" t="s">
        <v>1316</v>
      </c>
      <c r="G206" s="380" t="s">
        <v>1317</v>
      </c>
      <c r="H206" s="380" t="s">
        <v>1318</v>
      </c>
      <c r="I206" s="381" t="s">
        <v>1319</v>
      </c>
      <c r="J206" s="157">
        <f>931416.33*1.12</f>
        <v>1043186.2896</v>
      </c>
      <c r="K206" s="382"/>
      <c r="L206" s="363" t="s">
        <v>1278</v>
      </c>
      <c r="M206" s="364" t="s">
        <v>68</v>
      </c>
      <c r="N206" s="383"/>
      <c r="O206" s="382"/>
      <c r="P206" s="377">
        <v>1043186.28</v>
      </c>
      <c r="Q206" s="160">
        <f>+P206+O206</f>
        <v>1043186.28</v>
      </c>
      <c r="R206" s="386">
        <f>547590.31*1.12</f>
        <v>613301.14720000012</v>
      </c>
      <c r="S206" s="385"/>
      <c r="T206" s="385"/>
      <c r="U206" s="385"/>
      <c r="V206" s="386">
        <f>345162.93*1.12</f>
        <v>386582.48160000006</v>
      </c>
      <c r="W206" s="386">
        <f>38663.08*1.12</f>
        <v>43302.649600000004</v>
      </c>
      <c r="X206" s="393"/>
      <c r="Y206" s="160">
        <f t="shared" si="70"/>
        <v>1043186.2784000002</v>
      </c>
      <c r="Z206" s="369" t="s">
        <v>1279</v>
      </c>
      <c r="AA206" s="369" t="s">
        <v>1280</v>
      </c>
      <c r="AB206" s="369" t="s">
        <v>1295</v>
      </c>
      <c r="AC206" s="370">
        <v>42236</v>
      </c>
      <c r="AD206" s="370">
        <v>42369</v>
      </c>
      <c r="AE206" s="371" t="s">
        <v>72</v>
      </c>
      <c r="AF206" s="372"/>
      <c r="AG206" s="166">
        <v>0</v>
      </c>
      <c r="AH206" s="166">
        <v>0</v>
      </c>
      <c r="AI206" s="166">
        <v>0</v>
      </c>
      <c r="AJ206" s="166">
        <v>0</v>
      </c>
      <c r="AK206" s="166">
        <v>0</v>
      </c>
      <c r="AL206" s="166">
        <v>0</v>
      </c>
      <c r="AM206" s="166">
        <v>0</v>
      </c>
      <c r="AN206" s="166">
        <v>795650.55</v>
      </c>
      <c r="AO206" s="166">
        <v>61883.934999999998</v>
      </c>
      <c r="AP206" s="166">
        <v>61883.93</v>
      </c>
      <c r="AQ206" s="166">
        <v>61883.93</v>
      </c>
      <c r="AR206" s="166">
        <v>61883.93</v>
      </c>
      <c r="AS206" s="167">
        <f t="shared" si="68"/>
        <v>1043186.2750000003</v>
      </c>
    </row>
    <row r="207" spans="1:46" ht="127.5" hidden="1">
      <c r="A207" s="357" t="s">
        <v>1270</v>
      </c>
      <c r="B207" s="358">
        <f t="shared" si="71"/>
        <v>8</v>
      </c>
      <c r="C207" s="156" t="s">
        <v>1320</v>
      </c>
      <c r="D207" s="373" t="s">
        <v>1289</v>
      </c>
      <c r="E207" s="380" t="s">
        <v>1321</v>
      </c>
      <c r="F207" s="380" t="s">
        <v>1322</v>
      </c>
      <c r="G207" s="380" t="s">
        <v>1323</v>
      </c>
      <c r="H207" s="380" t="s">
        <v>1324</v>
      </c>
      <c r="I207" s="381" t="s">
        <v>1325</v>
      </c>
      <c r="J207" s="157">
        <v>188356.88</v>
      </c>
      <c r="K207" s="382"/>
      <c r="L207" s="363" t="s">
        <v>1278</v>
      </c>
      <c r="M207" s="364" t="s">
        <v>68</v>
      </c>
      <c r="N207" s="383"/>
      <c r="O207" s="382"/>
      <c r="P207" s="377">
        <v>188356.88</v>
      </c>
      <c r="Q207" s="160">
        <v>188356.88</v>
      </c>
      <c r="R207" s="386">
        <v>101789.86</v>
      </c>
      <c r="S207" s="385"/>
      <c r="T207" s="385"/>
      <c r="U207" s="385"/>
      <c r="V207" s="386">
        <v>77870.789999999994</v>
      </c>
      <c r="W207" s="386">
        <v>8696.23</v>
      </c>
      <c r="X207" s="392"/>
      <c r="Y207" s="160">
        <f t="shared" si="70"/>
        <v>188356.88</v>
      </c>
      <c r="Z207" s="369" t="s">
        <v>1279</v>
      </c>
      <c r="AA207" s="369" t="s">
        <v>1280</v>
      </c>
      <c r="AB207" s="369" t="s">
        <v>1281</v>
      </c>
      <c r="AC207" s="370">
        <v>42236</v>
      </c>
      <c r="AD207" s="370">
        <v>42369</v>
      </c>
      <c r="AE207" s="371" t="s">
        <v>72</v>
      </c>
      <c r="AF207" s="372"/>
      <c r="AG207" s="166">
        <v>0</v>
      </c>
      <c r="AH207" s="166">
        <v>0</v>
      </c>
      <c r="AI207" s="166">
        <v>0</v>
      </c>
      <c r="AJ207" s="166"/>
      <c r="AK207" s="166">
        <v>0</v>
      </c>
      <c r="AL207" s="166">
        <v>0</v>
      </c>
      <c r="AM207" s="166">
        <v>0</v>
      </c>
      <c r="AN207" s="166">
        <v>0</v>
      </c>
      <c r="AO207" s="166">
        <v>98875</v>
      </c>
      <c r="AP207" s="166">
        <v>89481.88</v>
      </c>
      <c r="AQ207" s="166">
        <v>0</v>
      </c>
      <c r="AR207" s="166"/>
      <c r="AS207" s="167">
        <f>+SUM(AG207:AR207)</f>
        <v>188356.88</v>
      </c>
    </row>
    <row r="208" spans="1:46" ht="127.5" hidden="1">
      <c r="A208" s="357" t="s">
        <v>1270</v>
      </c>
      <c r="B208" s="358">
        <f t="shared" si="71"/>
        <v>9</v>
      </c>
      <c r="C208" s="156" t="s">
        <v>1326</v>
      </c>
      <c r="D208" s="373" t="s">
        <v>1289</v>
      </c>
      <c r="E208" s="380" t="s">
        <v>1327</v>
      </c>
      <c r="F208" s="380" t="s">
        <v>1328</v>
      </c>
      <c r="G208" s="380" t="s">
        <v>1329</v>
      </c>
      <c r="H208" s="380" t="s">
        <v>1330</v>
      </c>
      <c r="I208" s="381" t="s">
        <v>1331</v>
      </c>
      <c r="J208" s="157">
        <v>0</v>
      </c>
      <c r="K208" s="382"/>
      <c r="L208" s="363" t="s">
        <v>1278</v>
      </c>
      <c r="M208" s="364" t="s">
        <v>68</v>
      </c>
      <c r="N208" s="383"/>
      <c r="O208" s="382"/>
      <c r="P208" s="377">
        <v>0</v>
      </c>
      <c r="Q208" s="160">
        <v>0</v>
      </c>
      <c r="R208" s="386">
        <v>0</v>
      </c>
      <c r="S208" s="385"/>
      <c r="T208" s="385"/>
      <c r="U208" s="385"/>
      <c r="V208" s="386">
        <v>0</v>
      </c>
      <c r="W208" s="386">
        <v>0</v>
      </c>
      <c r="X208" s="392"/>
      <c r="Y208" s="160">
        <f t="shared" si="70"/>
        <v>0</v>
      </c>
      <c r="Z208" s="369" t="s">
        <v>1279</v>
      </c>
      <c r="AA208" s="369" t="s">
        <v>1280</v>
      </c>
      <c r="AB208" s="369" t="s">
        <v>1281</v>
      </c>
      <c r="AC208" s="370">
        <v>42236</v>
      </c>
      <c r="AD208" s="370">
        <v>42369</v>
      </c>
      <c r="AE208" s="371" t="s">
        <v>72</v>
      </c>
      <c r="AF208" s="372"/>
      <c r="AG208" s="166">
        <v>0</v>
      </c>
      <c r="AH208" s="166">
        <v>0</v>
      </c>
      <c r="AI208" s="166">
        <v>0</v>
      </c>
      <c r="AJ208" s="166">
        <v>0</v>
      </c>
      <c r="AK208" s="166">
        <v>0</v>
      </c>
      <c r="AL208" s="166">
        <v>0</v>
      </c>
      <c r="AM208" s="166">
        <v>0</v>
      </c>
      <c r="AN208" s="166">
        <v>0</v>
      </c>
      <c r="AO208" s="166">
        <v>0</v>
      </c>
      <c r="AP208" s="166">
        <v>0</v>
      </c>
      <c r="AQ208" s="166">
        <v>0</v>
      </c>
      <c r="AR208" s="166">
        <v>0</v>
      </c>
      <c r="AS208" s="167">
        <f>+SUM(AG208:AR208)</f>
        <v>0</v>
      </c>
    </row>
    <row r="209" spans="1:51" ht="140.25" hidden="1">
      <c r="A209" s="357" t="s">
        <v>1270</v>
      </c>
      <c r="B209" s="358">
        <f t="shared" si="71"/>
        <v>10</v>
      </c>
      <c r="C209" s="156" t="s">
        <v>1332</v>
      </c>
      <c r="D209" s="373" t="s">
        <v>1289</v>
      </c>
      <c r="E209" s="380" t="s">
        <v>1333</v>
      </c>
      <c r="F209" s="380" t="s">
        <v>1334</v>
      </c>
      <c r="G209" s="380" t="s">
        <v>1335</v>
      </c>
      <c r="H209" s="380" t="s">
        <v>1336</v>
      </c>
      <c r="I209" s="381" t="s">
        <v>1337</v>
      </c>
      <c r="J209" s="157">
        <f>6000*1.12</f>
        <v>6720.0000000000009</v>
      </c>
      <c r="K209" s="382"/>
      <c r="L209" s="363" t="s">
        <v>1278</v>
      </c>
      <c r="M209" s="364" t="s">
        <v>68</v>
      </c>
      <c r="N209" s="383"/>
      <c r="O209" s="382"/>
      <c r="P209" s="377">
        <f t="shared" ref="P209" si="75">+J209</f>
        <v>6720.0000000000009</v>
      </c>
      <c r="Q209" s="160">
        <f t="shared" si="69"/>
        <v>6720.0000000000009</v>
      </c>
      <c r="R209" s="386">
        <f>6000*1.12</f>
        <v>6720.0000000000009</v>
      </c>
      <c r="S209" s="385"/>
      <c r="T209" s="385"/>
      <c r="U209" s="385"/>
      <c r="V209" s="386"/>
      <c r="W209" s="386"/>
      <c r="X209" s="392"/>
      <c r="Y209" s="160">
        <f t="shared" si="70"/>
        <v>6720.0000000000009</v>
      </c>
      <c r="Z209" s="369" t="s">
        <v>1279</v>
      </c>
      <c r="AA209" s="369" t="s">
        <v>1280</v>
      </c>
      <c r="AB209" s="369" t="s">
        <v>1295</v>
      </c>
      <c r="AC209" s="370">
        <v>42236</v>
      </c>
      <c r="AD209" s="370">
        <v>42369</v>
      </c>
      <c r="AE209" s="371" t="s">
        <v>72</v>
      </c>
      <c r="AF209" s="372"/>
      <c r="AG209" s="166">
        <v>0</v>
      </c>
      <c r="AH209" s="166">
        <v>0</v>
      </c>
      <c r="AI209" s="166">
        <v>0</v>
      </c>
      <c r="AJ209" s="166">
        <v>0</v>
      </c>
      <c r="AK209" s="166">
        <v>0</v>
      </c>
      <c r="AL209" s="166">
        <v>0</v>
      </c>
      <c r="AM209" s="166">
        <v>0</v>
      </c>
      <c r="AN209" s="166">
        <v>0</v>
      </c>
      <c r="AO209" s="166">
        <v>0</v>
      </c>
      <c r="AP209" s="166">
        <v>2240</v>
      </c>
      <c r="AQ209" s="166">
        <v>2240</v>
      </c>
      <c r="AR209" s="166">
        <v>2240</v>
      </c>
      <c r="AS209" s="167">
        <f>+SUM(AG209:AR209)</f>
        <v>6720</v>
      </c>
    </row>
    <row r="210" spans="1:51" ht="191.25" hidden="1">
      <c r="A210" s="357" t="s">
        <v>1270</v>
      </c>
      <c r="B210" s="358">
        <f t="shared" si="71"/>
        <v>11</v>
      </c>
      <c r="C210" s="156" t="s">
        <v>1338</v>
      </c>
      <c r="D210" s="373" t="s">
        <v>162</v>
      </c>
      <c r="E210" s="380" t="s">
        <v>1339</v>
      </c>
      <c r="F210" s="380" t="s">
        <v>1340</v>
      </c>
      <c r="G210" s="380" t="s">
        <v>1341</v>
      </c>
      <c r="H210" s="380" t="s">
        <v>1342</v>
      </c>
      <c r="I210" s="381" t="s">
        <v>1343</v>
      </c>
      <c r="J210" s="157">
        <f>139536.48*1.12</f>
        <v>156280.85760000002</v>
      </c>
      <c r="K210" s="382"/>
      <c r="L210" s="363" t="s">
        <v>1278</v>
      </c>
      <c r="M210" s="364" t="s">
        <v>68</v>
      </c>
      <c r="N210" s="383"/>
      <c r="O210" s="382"/>
      <c r="P210" s="377">
        <v>156280.85999999999</v>
      </c>
      <c r="Q210" s="160">
        <f t="shared" si="69"/>
        <v>156280.85999999999</v>
      </c>
      <c r="R210" s="386">
        <f>82035.09*1.12</f>
        <v>91879.300800000012</v>
      </c>
      <c r="S210" s="385"/>
      <c r="T210" s="385"/>
      <c r="U210" s="385"/>
      <c r="V210" s="386">
        <f>51709.23*1.12</f>
        <v>57914.337600000006</v>
      </c>
      <c r="W210" s="386">
        <f>5792.16*1.12</f>
        <v>6487.2192000000005</v>
      </c>
      <c r="X210" s="392"/>
      <c r="Y210" s="160">
        <f t="shared" si="70"/>
        <v>156280.85760000002</v>
      </c>
      <c r="Z210" s="369" t="s">
        <v>1279</v>
      </c>
      <c r="AA210" s="369" t="s">
        <v>1280</v>
      </c>
      <c r="AB210" s="369" t="s">
        <v>1344</v>
      </c>
      <c r="AC210" s="370">
        <v>42236</v>
      </c>
      <c r="AD210" s="370">
        <v>42369</v>
      </c>
      <c r="AE210" s="371" t="s">
        <v>72</v>
      </c>
      <c r="AF210" s="372"/>
      <c r="AG210" s="166">
        <v>0</v>
      </c>
      <c r="AH210" s="166">
        <v>0</v>
      </c>
      <c r="AI210" s="166">
        <v>0</v>
      </c>
      <c r="AJ210" s="166">
        <v>0</v>
      </c>
      <c r="AK210" s="166">
        <v>0</v>
      </c>
      <c r="AL210" s="166">
        <v>0</v>
      </c>
      <c r="AM210" s="166">
        <v>0</v>
      </c>
      <c r="AN210" s="166">
        <f>38984.73*1.12</f>
        <v>43662.897600000011</v>
      </c>
      <c r="AO210" s="166">
        <f>+SUM(71781.795-3992)*1.12</f>
        <v>75924.570400000011</v>
      </c>
      <c r="AP210" s="166">
        <f>SUM(11397.085-633.83)*1.12</f>
        <v>12054.845600000001</v>
      </c>
      <c r="AQ210" s="166">
        <f>SUM(11397.085-633.83)*1.12</f>
        <v>12054.845600000001</v>
      </c>
      <c r="AR210" s="166">
        <f>SUM(11897.085-661.64)*1.12</f>
        <v>12583.698400000001</v>
      </c>
      <c r="AS210" s="167">
        <f t="shared" si="68"/>
        <v>156280.85760000002</v>
      </c>
    </row>
    <row r="211" spans="1:51" ht="178.5" hidden="1">
      <c r="A211" s="357" t="s">
        <v>1270</v>
      </c>
      <c r="B211" s="358">
        <f t="shared" si="71"/>
        <v>12</v>
      </c>
      <c r="C211" s="156" t="s">
        <v>1345</v>
      </c>
      <c r="D211" s="373" t="s">
        <v>162</v>
      </c>
      <c r="E211" s="394" t="s">
        <v>1346</v>
      </c>
      <c r="F211" s="394" t="s">
        <v>1347</v>
      </c>
      <c r="G211" s="394" t="s">
        <v>1348</v>
      </c>
      <c r="H211" s="394" t="s">
        <v>1349</v>
      </c>
      <c r="I211" s="395" t="s">
        <v>1350</v>
      </c>
      <c r="J211" s="157">
        <f>170354.955*1.12</f>
        <v>190797.5496</v>
      </c>
      <c r="K211" s="396"/>
      <c r="L211" s="397" t="s">
        <v>1278</v>
      </c>
      <c r="M211" s="254" t="s">
        <v>68</v>
      </c>
      <c r="N211" s="398"/>
      <c r="O211" s="396"/>
      <c r="P211" s="256">
        <v>190797.55</v>
      </c>
      <c r="Q211" s="160">
        <f>+P211+O211</f>
        <v>190797.55</v>
      </c>
      <c r="R211" s="399">
        <f>100153.621*1.12</f>
        <v>112172.05552000001</v>
      </c>
      <c r="S211" s="400"/>
      <c r="T211" s="400"/>
      <c r="U211" s="400"/>
      <c r="V211" s="399">
        <f>63129.9*1.12</f>
        <v>70705.488000000012</v>
      </c>
      <c r="W211" s="399">
        <f>7071.43*1.12</f>
        <v>7920.0016000000014</v>
      </c>
      <c r="X211" s="401"/>
      <c r="Y211" s="160">
        <f t="shared" si="70"/>
        <v>190797.54512</v>
      </c>
      <c r="Z211" s="258" t="s">
        <v>1279</v>
      </c>
      <c r="AA211" s="258" t="s">
        <v>1280</v>
      </c>
      <c r="AB211" s="258" t="s">
        <v>1351</v>
      </c>
      <c r="AC211" s="370">
        <v>42236</v>
      </c>
      <c r="AD211" s="259">
        <v>42369</v>
      </c>
      <c r="AE211" s="260" t="s">
        <v>72</v>
      </c>
      <c r="AF211" s="261"/>
      <c r="AG211" s="166">
        <v>0</v>
      </c>
      <c r="AH211" s="166">
        <v>0</v>
      </c>
      <c r="AI211" s="166">
        <v>0</v>
      </c>
      <c r="AJ211" s="166">
        <v>0</v>
      </c>
      <c r="AK211" s="166">
        <v>0</v>
      </c>
      <c r="AL211" s="166">
        <v>0</v>
      </c>
      <c r="AM211" s="166">
        <f>37860.5*1.12</f>
        <v>42403.76</v>
      </c>
      <c r="AN211" s="166">
        <f>23342.5*1.12</f>
        <v>26143.600000000002</v>
      </c>
      <c r="AO211" s="166">
        <f>73246.455*1.12</f>
        <v>82036.029600000009</v>
      </c>
      <c r="AP211" s="166">
        <f>11214.5*1.12</f>
        <v>12560.240000000002</v>
      </c>
      <c r="AQ211" s="166">
        <f>13476.5*1.12</f>
        <v>15093.680000000002</v>
      </c>
      <c r="AR211" s="166">
        <f>11214.5*1.12</f>
        <v>12560.240000000002</v>
      </c>
      <c r="AS211" s="167">
        <f t="shared" si="68"/>
        <v>190797.54959999997</v>
      </c>
      <c r="AY211" s="402"/>
    </row>
    <row r="212" spans="1:51" hidden="1">
      <c r="A212" s="403"/>
      <c r="B212" s="404"/>
      <c r="C212" s="405"/>
      <c r="D212" s="406"/>
      <c r="E212" s="407"/>
      <c r="F212" s="407"/>
      <c r="G212" s="407"/>
      <c r="H212" s="407"/>
      <c r="I212" s="408"/>
      <c r="J212" s="409">
        <f>+SUM(J200:J211)</f>
        <v>22717731.568800002</v>
      </c>
      <c r="K212" s="409">
        <f t="shared" ref="K212:Q212" si="76">+SUM(K200:K211)</f>
        <v>0</v>
      </c>
      <c r="L212" s="409">
        <f t="shared" si="76"/>
        <v>0</v>
      </c>
      <c r="M212" s="410">
        <f t="shared" si="76"/>
        <v>0</v>
      </c>
      <c r="N212" s="410">
        <f t="shared" si="76"/>
        <v>0</v>
      </c>
      <c r="O212" s="409">
        <f t="shared" si="76"/>
        <v>67200</v>
      </c>
      <c r="P212" s="410">
        <f t="shared" si="76"/>
        <v>22650531.550000001</v>
      </c>
      <c r="Q212" s="409">
        <f t="shared" si="76"/>
        <v>22717731.546399999</v>
      </c>
      <c r="R212" s="409">
        <f>SUM(R200:R211)</f>
        <v>3377013.8579199999</v>
      </c>
      <c r="S212" s="409">
        <f t="shared" ref="S212:Y212" si="77">SUM(S200:S211)</f>
        <v>0</v>
      </c>
      <c r="T212" s="409">
        <f t="shared" si="77"/>
        <v>0</v>
      </c>
      <c r="U212" s="409">
        <f t="shared" si="77"/>
        <v>0</v>
      </c>
      <c r="V212" s="409">
        <f t="shared" si="77"/>
        <v>914676.82720000006</v>
      </c>
      <c r="W212" s="409">
        <f t="shared" si="77"/>
        <v>106627.2828</v>
      </c>
      <c r="X212" s="409">
        <f t="shared" si="77"/>
        <v>18319413.571199998</v>
      </c>
      <c r="Y212" s="409">
        <f t="shared" si="77"/>
        <v>22717731.539120004</v>
      </c>
      <c r="Z212" s="410">
        <f>+SUM(Z200:Z211)</f>
        <v>0</v>
      </c>
      <c r="AA212" s="410">
        <f>+SUM(AA200:AA211)</f>
        <v>0</v>
      </c>
      <c r="AB212" s="410">
        <f>+SUM(AB200:AB211)</f>
        <v>0</v>
      </c>
      <c r="AC212" s="411" t="s">
        <v>239</v>
      </c>
      <c r="AD212" s="411" t="s">
        <v>239</v>
      </c>
      <c r="AE212" s="410">
        <f t="shared" ref="AE212:AR212" si="78">+SUM(AE200:AE211)</f>
        <v>0</v>
      </c>
      <c r="AF212" s="410">
        <f t="shared" si="78"/>
        <v>0</v>
      </c>
      <c r="AG212" s="410">
        <f t="shared" si="78"/>
        <v>0</v>
      </c>
      <c r="AH212" s="410">
        <f t="shared" si="78"/>
        <v>0</v>
      </c>
      <c r="AI212" s="410">
        <f t="shared" si="78"/>
        <v>0</v>
      </c>
      <c r="AJ212" s="410">
        <f t="shared" si="78"/>
        <v>0</v>
      </c>
      <c r="AK212" s="410">
        <f t="shared" si="78"/>
        <v>0</v>
      </c>
      <c r="AL212" s="410">
        <f t="shared" si="78"/>
        <v>0</v>
      </c>
      <c r="AM212" s="410">
        <f t="shared" si="78"/>
        <v>42403.76</v>
      </c>
      <c r="AN212" s="410">
        <f t="shared" si="78"/>
        <v>18332030.852560002</v>
      </c>
      <c r="AO212" s="410">
        <f t="shared" si="78"/>
        <v>875456.26491999987</v>
      </c>
      <c r="AP212" s="410">
        <f t="shared" si="78"/>
        <v>1033834.8895200001</v>
      </c>
      <c r="AQ212" s="410">
        <f t="shared" si="78"/>
        <v>1146391.1882399998</v>
      </c>
      <c r="AR212" s="410">
        <f t="shared" si="78"/>
        <v>1287614.59672</v>
      </c>
      <c r="AS212" s="410">
        <f>+SUM(AS200:AS211)</f>
        <v>22717731.551960003</v>
      </c>
    </row>
    <row r="213" spans="1:51" ht="165" hidden="1">
      <c r="A213" s="412" t="s">
        <v>1352</v>
      </c>
      <c r="B213" s="413">
        <v>1</v>
      </c>
      <c r="C213" s="412" t="s">
        <v>1353</v>
      </c>
      <c r="D213" s="414" t="s">
        <v>162</v>
      </c>
      <c r="E213" s="413"/>
      <c r="F213" s="412" t="s">
        <v>1354</v>
      </c>
      <c r="G213" s="412" t="s">
        <v>1355</v>
      </c>
      <c r="H213" s="412" t="s">
        <v>1356</v>
      </c>
      <c r="I213" s="412" t="s">
        <v>1357</v>
      </c>
      <c r="J213" s="157">
        <v>1454411.96</v>
      </c>
      <c r="K213" s="157"/>
      <c r="L213" s="397" t="s">
        <v>1358</v>
      </c>
      <c r="M213" s="254"/>
      <c r="N213" s="398"/>
      <c r="O213" s="396"/>
      <c r="P213" s="396">
        <f>+J213</f>
        <v>1454411.96</v>
      </c>
      <c r="Q213" s="160">
        <f>+O213+P213</f>
        <v>1454411.96</v>
      </c>
      <c r="R213" s="399">
        <v>0</v>
      </c>
      <c r="S213" s="400"/>
      <c r="T213" s="400"/>
      <c r="U213" s="400"/>
      <c r="V213" s="399"/>
      <c r="W213" s="399"/>
      <c r="X213" s="401">
        <v>1454411.96</v>
      </c>
      <c r="Y213" s="160">
        <f>SUM(R213:X213)</f>
        <v>1454411.96</v>
      </c>
      <c r="Z213" s="258" t="s">
        <v>1359</v>
      </c>
      <c r="AA213" s="258" t="s">
        <v>1359</v>
      </c>
      <c r="AB213" s="258" t="s">
        <v>1360</v>
      </c>
      <c r="AC213" s="370">
        <v>42186</v>
      </c>
      <c r="AD213" s="259"/>
      <c r="AE213" s="260" t="s">
        <v>424</v>
      </c>
      <c r="AF213" s="261"/>
      <c r="AG213" s="166"/>
      <c r="AH213" s="166"/>
      <c r="AI213" s="166"/>
      <c r="AJ213" s="166"/>
      <c r="AK213" s="166"/>
      <c r="AL213" s="166"/>
      <c r="AM213" s="166">
        <v>727205.96</v>
      </c>
      <c r="AN213" s="166">
        <v>242402</v>
      </c>
      <c r="AO213" s="166">
        <v>242402</v>
      </c>
      <c r="AP213" s="166">
        <v>242402</v>
      </c>
      <c r="AQ213" s="166"/>
      <c r="AR213" s="166"/>
      <c r="AS213" s="167">
        <f>SUM(AG213:AR213)</f>
        <v>1454411.96</v>
      </c>
    </row>
    <row r="214" spans="1:51" hidden="1">
      <c r="A214" s="415"/>
      <c r="B214" s="415"/>
      <c r="C214" s="415"/>
      <c r="D214" s="415"/>
      <c r="E214" s="415"/>
      <c r="F214" s="415"/>
      <c r="G214" s="415"/>
      <c r="H214" s="415"/>
      <c r="I214" s="415"/>
      <c r="J214" s="416">
        <f>SUM(J213)</f>
        <v>1454411.96</v>
      </c>
      <c r="K214" s="416">
        <f t="shared" ref="K214:Y214" si="79">SUM(K213)</f>
        <v>0</v>
      </c>
      <c r="L214" s="416"/>
      <c r="M214" s="417">
        <f t="shared" si="79"/>
        <v>0</v>
      </c>
      <c r="N214" s="417">
        <f t="shared" si="79"/>
        <v>0</v>
      </c>
      <c r="O214" s="417">
        <f t="shared" si="79"/>
        <v>0</v>
      </c>
      <c r="P214" s="416">
        <f t="shared" si="79"/>
        <v>1454411.96</v>
      </c>
      <c r="Q214" s="416">
        <f t="shared" si="79"/>
        <v>1454411.96</v>
      </c>
      <c r="R214" s="416">
        <f>SUM(R213)</f>
        <v>0</v>
      </c>
      <c r="S214" s="416">
        <f t="shared" si="79"/>
        <v>0</v>
      </c>
      <c r="T214" s="416">
        <f t="shared" si="79"/>
        <v>0</v>
      </c>
      <c r="U214" s="416">
        <f t="shared" si="79"/>
        <v>0</v>
      </c>
      <c r="V214" s="416">
        <f t="shared" si="79"/>
        <v>0</v>
      </c>
      <c r="W214" s="416">
        <f t="shared" si="79"/>
        <v>0</v>
      </c>
      <c r="X214" s="416">
        <f t="shared" si="79"/>
        <v>1454411.96</v>
      </c>
      <c r="Y214" s="416">
        <f t="shared" si="79"/>
        <v>1454411.96</v>
      </c>
      <c r="Z214" s="415"/>
      <c r="AA214" s="415"/>
      <c r="AB214" s="415"/>
      <c r="AC214" s="415"/>
      <c r="AD214" s="415"/>
      <c r="AE214" s="415"/>
      <c r="AF214" s="415"/>
      <c r="AG214" s="418">
        <f>SUM(AG213)</f>
        <v>0</v>
      </c>
      <c r="AH214" s="418">
        <f t="shared" ref="AH214:AS214" si="80">SUM(AH213)</f>
        <v>0</v>
      </c>
      <c r="AI214" s="418">
        <f t="shared" si="80"/>
        <v>0</v>
      </c>
      <c r="AJ214" s="418">
        <f t="shared" si="80"/>
        <v>0</v>
      </c>
      <c r="AK214" s="418">
        <f t="shared" si="80"/>
        <v>0</v>
      </c>
      <c r="AL214" s="418">
        <f t="shared" si="80"/>
        <v>0</v>
      </c>
      <c r="AM214" s="418">
        <f t="shared" si="80"/>
        <v>727205.96</v>
      </c>
      <c r="AN214" s="418">
        <f t="shared" si="80"/>
        <v>242402</v>
      </c>
      <c r="AO214" s="418">
        <f t="shared" si="80"/>
        <v>242402</v>
      </c>
      <c r="AP214" s="418">
        <f t="shared" si="80"/>
        <v>242402</v>
      </c>
      <c r="AQ214" s="418">
        <f t="shared" si="80"/>
        <v>0</v>
      </c>
      <c r="AR214" s="418">
        <f t="shared" si="80"/>
        <v>0</v>
      </c>
      <c r="AS214" s="418">
        <f t="shared" si="80"/>
        <v>1454411.96</v>
      </c>
    </row>
    <row r="215" spans="1:51">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row>
    <row r="217" spans="1:51">
      <c r="A217" s="420" t="s">
        <v>14</v>
      </c>
      <c r="B217" s="421"/>
      <c r="C217" s="421"/>
      <c r="D217" s="421"/>
      <c r="E217" s="421"/>
      <c r="F217" s="421"/>
      <c r="G217" s="421"/>
      <c r="H217" s="421"/>
      <c r="I217" s="422"/>
      <c r="J217" s="423">
        <f>+J17+J19+J28+J32+J36+J45+J50+J68+J70+J76+J94+J103+J105+J112+J115+J130+J150+J199+J212+J43+J214</f>
        <v>49315674.628800005</v>
      </c>
      <c r="K217" s="423">
        <f>+K17+K19+K28+K32+K36+K45+K50+K68+K70+K76+K94+K103+K105+K112+K115+K130+K150+K199+K212+K43+K214</f>
        <v>6813017.6600000001</v>
      </c>
      <c r="L217" s="423"/>
      <c r="M217" s="423"/>
      <c r="N217" s="423"/>
      <c r="O217" s="423">
        <f>+O17+O19+O28+O32+O36+O45+O50+O68+O70+O76+O94+O103+O105+O112+O115+O130+O150+O199+O212+O43+O214</f>
        <v>1742049.13</v>
      </c>
      <c r="P217" s="423">
        <f>+P17+P19+P28+P32+P36+P45+P50+P68+P70+P76+P94+P103+P105+P112+P115+P130+P150+P199+P212+P43</f>
        <v>52128911.470000006</v>
      </c>
      <c r="Q217" s="423">
        <f>+Q17+Q19+Q28+Q32+Q36+Q45+Q50+Q68+Q70+Q76+Q94+Q103+Q105+Q112+Q115+Q130+Q150+Q199+Q212+Q43</f>
        <v>53870960.5964</v>
      </c>
      <c r="R217" s="423">
        <f t="shared" ref="R217:Y217" si="81">+R17+R19+R28+R32+R36+R45+R50+R68+R70+R76+R94+R103+R105+R112+R115+R130+R150+R199+R212+R43+R214</f>
        <v>15848282.327919999</v>
      </c>
      <c r="S217" s="423">
        <f t="shared" si="81"/>
        <v>0</v>
      </c>
      <c r="T217" s="423">
        <f t="shared" si="81"/>
        <v>1733642.0469999998</v>
      </c>
      <c r="U217" s="423">
        <f t="shared" si="81"/>
        <v>3337094.93</v>
      </c>
      <c r="V217" s="423">
        <f t="shared" si="81"/>
        <v>8783883.4372000005</v>
      </c>
      <c r="W217" s="423">
        <f t="shared" si="81"/>
        <v>106627.2828</v>
      </c>
      <c r="X217" s="423">
        <f t="shared" si="81"/>
        <v>25595042.521200001</v>
      </c>
      <c r="Y217" s="423">
        <f t="shared" si="81"/>
        <v>55404572.546120003</v>
      </c>
      <c r="Z217" s="423">
        <f>+Z17+Z19+Z28+Z32+Z36+Z45+Z50+Z68+Z70+Z76+Z94+Z103+Z105+Z112+Z115+Z130+Z150+Z199+Z212+Z43</f>
        <v>0</v>
      </c>
      <c r="AA217" s="423">
        <f>+AA17+AA19+AA28+AA32+AA36+AA45+AA50+AA68+AA70+AA76+AA94+AA103+AA105+AA112+AA115+AA130+AA150+AA199+AA212+AA43</f>
        <v>0</v>
      </c>
      <c r="AB217" s="423">
        <f>+AB17+AB19+AB28+AB32+AB36+AB45+AB50+AB68+AB70+AB76+AB94+AB103+AB105+AB112+AB115+AB130+AB150+AB199+AB212+AB43</f>
        <v>0</v>
      </c>
      <c r="AC217" s="423"/>
      <c r="AD217" s="423"/>
      <c r="AE217" s="423">
        <f>+AE17+AE19+AE28+AE32+AE36+AE45+AE50+AE68+AE70+AE76+AE94+AE103+AE105+AE112+AE115+AE130+AE150+AE199+AE212+AE43</f>
        <v>0</v>
      </c>
      <c r="AF217" s="423">
        <f>+AF17+AF19+AF28+AF32+AF36+AF45+AF50+AF68+AF70+AF76+AF94+AF103+AF105+AF112+AF115+AF130+AF150+AF199+AF212+AF43</f>
        <v>0</v>
      </c>
      <c r="AG217" s="423">
        <f t="shared" ref="AG217:AS217" si="82">+AG17+AG19+AG28+AG32+AG36+AG45+AG50+AG68+AG70+AG76+AG94+AG103+AG105+AG112+AG115+AG130+AG150+AG199+AG212+AG43+AG214</f>
        <v>249365.12901202016</v>
      </c>
      <c r="AH217" s="423">
        <f t="shared" si="82"/>
        <v>722806.9845406427</v>
      </c>
      <c r="AI217" s="423">
        <f t="shared" si="82"/>
        <v>1207170.5220210315</v>
      </c>
      <c r="AJ217" s="423">
        <f t="shared" si="82"/>
        <v>1174401.5568021762</v>
      </c>
      <c r="AK217" s="423">
        <f t="shared" si="82"/>
        <v>1841945.9843046193</v>
      </c>
      <c r="AL217" s="423">
        <f t="shared" si="82"/>
        <v>2302752.4371356987</v>
      </c>
      <c r="AM217" s="423">
        <f t="shared" si="82"/>
        <v>3861428.2180794114</v>
      </c>
      <c r="AN217" s="423">
        <f t="shared" si="82"/>
        <v>22981609.081233121</v>
      </c>
      <c r="AO217" s="423">
        <f t="shared" si="82"/>
        <v>3802309.2807869962</v>
      </c>
      <c r="AP217" s="423">
        <f t="shared" si="82"/>
        <v>3124488.6863417439</v>
      </c>
      <c r="AQ217" s="423">
        <f t="shared" si="82"/>
        <v>2669004.0016521094</v>
      </c>
      <c r="AR217" s="423">
        <f t="shared" si="82"/>
        <v>2466234.3920161151</v>
      </c>
      <c r="AS217" s="423">
        <f t="shared" si="82"/>
        <v>46393516.273925684</v>
      </c>
    </row>
    <row r="218" spans="1:51">
      <c r="K218" s="142"/>
      <c r="AS218" s="142"/>
    </row>
    <row r="219" spans="1:51">
      <c r="Q219" s="142"/>
      <c r="T219" s="142"/>
      <c r="V219" s="142"/>
      <c r="X219" s="142"/>
      <c r="Y219" s="142"/>
      <c r="AS219" s="142"/>
    </row>
    <row r="220" spans="1:51">
      <c r="R220" s="424"/>
      <c r="S220" s="424"/>
      <c r="T220" s="424"/>
      <c r="U220" s="424"/>
      <c r="V220" s="424"/>
      <c r="W220" s="424"/>
      <c r="X220" s="424"/>
      <c r="Y220" s="424"/>
    </row>
    <row r="221" spans="1:51">
      <c r="K221" s="142"/>
      <c r="V221" s="142"/>
      <c r="Y221" s="142"/>
    </row>
    <row r="222" spans="1:51">
      <c r="R222" s="142"/>
      <c r="V222" s="142"/>
      <c r="X222" s="142"/>
    </row>
    <row r="223" spans="1:51">
      <c r="A223" s="425" t="s">
        <v>1361</v>
      </c>
    </row>
    <row r="224" spans="1:51" ht="72" customHeight="1">
      <c r="A224" s="412" t="s">
        <v>824</v>
      </c>
      <c r="B224" s="413"/>
      <c r="C224" s="412" t="s">
        <v>1362</v>
      </c>
      <c r="D224" s="414"/>
      <c r="E224" s="413"/>
      <c r="G224" s="413"/>
      <c r="H224" s="413"/>
      <c r="I224" s="413"/>
      <c r="J224" s="413"/>
      <c r="K224" s="413"/>
      <c r="L224" s="413"/>
      <c r="M224" s="413"/>
      <c r="N224" s="413"/>
      <c r="O224" s="413"/>
      <c r="P224" s="413">
        <v>14766.42</v>
      </c>
      <c r="Q224" s="413">
        <f t="shared" ref="Q224:Q231" si="83">+O224+P224</f>
        <v>14766.42</v>
      </c>
      <c r="R224" s="413">
        <v>14766.42</v>
      </c>
      <c r="S224" s="413"/>
      <c r="T224" s="413"/>
      <c r="U224" s="413"/>
      <c r="V224" s="413"/>
      <c r="W224" s="413"/>
      <c r="X224" s="413"/>
      <c r="Y224" s="413">
        <f t="shared" ref="Y224:Y229" si="84">SUM(R224:X224)</f>
        <v>14766.42</v>
      </c>
      <c r="Z224" s="412" t="s">
        <v>1363</v>
      </c>
      <c r="AA224" s="413"/>
      <c r="AB224" s="413"/>
      <c r="AC224" s="413"/>
      <c r="AD224" s="413"/>
      <c r="AE224" s="413"/>
      <c r="AF224" s="413"/>
      <c r="AG224" s="413"/>
      <c r="AH224" s="413"/>
      <c r="AI224" s="413"/>
      <c r="AJ224" s="413"/>
      <c r="AK224" s="413"/>
      <c r="AL224" s="413"/>
      <c r="AM224" s="413"/>
      <c r="AN224" s="413"/>
      <c r="AO224" s="413"/>
      <c r="AP224" s="413"/>
      <c r="AQ224" s="413"/>
      <c r="AR224" s="413"/>
      <c r="AS224" s="413"/>
    </row>
    <row r="225" spans="1:45" ht="78.75" customHeight="1">
      <c r="A225" s="412" t="s">
        <v>824</v>
      </c>
      <c r="B225" s="413"/>
      <c r="C225" s="412" t="s">
        <v>1364</v>
      </c>
      <c r="D225" s="414"/>
      <c r="E225" s="413"/>
      <c r="F225" s="413"/>
      <c r="G225" s="413"/>
      <c r="H225" s="413"/>
      <c r="I225" s="413"/>
      <c r="J225" s="413"/>
      <c r="K225" s="413"/>
      <c r="L225" s="413"/>
      <c r="M225" s="413"/>
      <c r="N225" s="413"/>
      <c r="O225" s="413"/>
      <c r="P225" s="413">
        <v>652.12</v>
      </c>
      <c r="Q225" s="413">
        <f t="shared" si="83"/>
        <v>652.12</v>
      </c>
      <c r="R225" s="413">
        <v>652.12</v>
      </c>
      <c r="S225" s="413"/>
      <c r="T225" s="413"/>
      <c r="U225" s="413"/>
      <c r="V225" s="413"/>
      <c r="W225" s="413"/>
      <c r="X225" s="413"/>
      <c r="Y225" s="413">
        <f t="shared" si="84"/>
        <v>652.12</v>
      </c>
      <c r="Z225" s="412" t="s">
        <v>1363</v>
      </c>
      <c r="AA225" s="413"/>
      <c r="AB225" s="413"/>
      <c r="AC225" s="413"/>
      <c r="AD225" s="413"/>
      <c r="AE225" s="413"/>
      <c r="AF225" s="413"/>
      <c r="AG225" s="413"/>
      <c r="AH225" s="413"/>
      <c r="AI225" s="413"/>
      <c r="AJ225" s="413"/>
      <c r="AK225" s="413"/>
      <c r="AL225" s="413"/>
      <c r="AM225" s="413"/>
      <c r="AN225" s="413"/>
      <c r="AO225" s="413"/>
      <c r="AP225" s="413"/>
      <c r="AQ225" s="413"/>
      <c r="AR225" s="413"/>
      <c r="AS225" s="413"/>
    </row>
    <row r="226" spans="1:45" ht="105">
      <c r="A226" s="412" t="s">
        <v>824</v>
      </c>
      <c r="B226" s="413"/>
      <c r="C226" s="412" t="s">
        <v>1365</v>
      </c>
      <c r="D226" s="414"/>
      <c r="E226" s="413"/>
      <c r="F226" s="413"/>
      <c r="G226" s="413"/>
      <c r="H226" s="413"/>
      <c r="I226" s="413"/>
      <c r="J226" s="413"/>
      <c r="K226" s="413"/>
      <c r="L226" s="413"/>
      <c r="M226" s="413"/>
      <c r="N226" s="413"/>
      <c r="O226" s="413"/>
      <c r="P226" s="413">
        <v>7335.29</v>
      </c>
      <c r="Q226" s="413">
        <f t="shared" si="83"/>
        <v>7335.29</v>
      </c>
      <c r="R226" s="413">
        <v>7335.29</v>
      </c>
      <c r="S226" s="413"/>
      <c r="T226" s="413"/>
      <c r="U226" s="413"/>
      <c r="V226" s="413"/>
      <c r="W226" s="413"/>
      <c r="X226" s="413"/>
      <c r="Y226" s="413">
        <f t="shared" si="84"/>
        <v>7335.29</v>
      </c>
      <c r="Z226" s="412" t="s">
        <v>1363</v>
      </c>
      <c r="AA226" s="413"/>
      <c r="AB226" s="413"/>
      <c r="AC226" s="413"/>
      <c r="AD226" s="413"/>
      <c r="AE226" s="413"/>
      <c r="AF226" s="413"/>
      <c r="AG226" s="413"/>
      <c r="AH226" s="413"/>
      <c r="AI226" s="413"/>
      <c r="AJ226" s="413"/>
      <c r="AK226" s="413"/>
      <c r="AL226" s="413"/>
      <c r="AM226" s="413"/>
      <c r="AN226" s="413"/>
      <c r="AO226" s="413"/>
      <c r="AP226" s="413"/>
      <c r="AQ226" s="413"/>
      <c r="AR226" s="413"/>
      <c r="AS226" s="413"/>
    </row>
    <row r="227" spans="1:45" ht="210">
      <c r="A227" s="412" t="s">
        <v>824</v>
      </c>
      <c r="B227" s="413"/>
      <c r="C227" s="412" t="s">
        <v>1366</v>
      </c>
      <c r="D227" s="414"/>
      <c r="E227" s="413"/>
      <c r="F227" s="413"/>
      <c r="G227" s="413"/>
      <c r="H227" s="413"/>
      <c r="I227" s="413"/>
      <c r="J227" s="413"/>
      <c r="K227" s="413"/>
      <c r="L227" s="413"/>
      <c r="M227" s="413"/>
      <c r="N227" s="413"/>
      <c r="O227" s="413"/>
      <c r="P227" s="413">
        <v>55334.74</v>
      </c>
      <c r="Q227" s="413">
        <f t="shared" si="83"/>
        <v>55334.74</v>
      </c>
      <c r="R227" s="413">
        <v>55334.74</v>
      </c>
      <c r="S227" s="413"/>
      <c r="T227" s="413"/>
      <c r="U227" s="413"/>
      <c r="V227" s="413"/>
      <c r="W227" s="413"/>
      <c r="X227" s="413"/>
      <c r="Y227" s="413">
        <f t="shared" si="84"/>
        <v>55334.74</v>
      </c>
      <c r="Z227" s="412" t="s">
        <v>1363</v>
      </c>
      <c r="AA227" s="413"/>
      <c r="AB227" s="413"/>
      <c r="AC227" s="413"/>
      <c r="AD227" s="413"/>
      <c r="AE227" s="413"/>
      <c r="AF227" s="413"/>
      <c r="AG227" s="413"/>
      <c r="AH227" s="413"/>
      <c r="AI227" s="413"/>
      <c r="AJ227" s="413"/>
      <c r="AK227" s="413"/>
      <c r="AL227" s="413"/>
      <c r="AM227" s="413"/>
      <c r="AN227" s="413"/>
      <c r="AO227" s="413"/>
      <c r="AP227" s="413"/>
      <c r="AQ227" s="413"/>
      <c r="AR227" s="413"/>
      <c r="AS227" s="413"/>
    </row>
    <row r="228" spans="1:45" ht="105">
      <c r="A228" s="412" t="s">
        <v>824</v>
      </c>
      <c r="B228" s="413"/>
      <c r="C228" s="412" t="s">
        <v>1367</v>
      </c>
      <c r="D228" s="414"/>
      <c r="E228" s="413"/>
      <c r="F228" s="413"/>
      <c r="G228" s="413"/>
      <c r="H228" s="413"/>
      <c r="I228" s="413"/>
      <c r="J228" s="413"/>
      <c r="K228" s="413"/>
      <c r="L228" s="413"/>
      <c r="M228" s="413"/>
      <c r="N228" s="413"/>
      <c r="O228" s="413"/>
      <c r="P228" s="413">
        <v>20727.27</v>
      </c>
      <c r="Q228" s="413">
        <f t="shared" si="83"/>
        <v>20727.27</v>
      </c>
      <c r="R228" s="413">
        <v>20727.27</v>
      </c>
      <c r="S228" s="413"/>
      <c r="T228" s="413"/>
      <c r="U228" s="413"/>
      <c r="V228" s="413"/>
      <c r="W228" s="413"/>
      <c r="X228" s="413"/>
      <c r="Y228" s="413">
        <f t="shared" si="84"/>
        <v>20727.27</v>
      </c>
      <c r="Z228" s="412" t="s">
        <v>1363</v>
      </c>
      <c r="AA228" s="413"/>
      <c r="AB228" s="413"/>
      <c r="AC228" s="413"/>
      <c r="AD228" s="413"/>
      <c r="AE228" s="413"/>
      <c r="AF228" s="413"/>
      <c r="AG228" s="413"/>
      <c r="AH228" s="413"/>
      <c r="AI228" s="413"/>
      <c r="AJ228" s="413"/>
      <c r="AK228" s="413"/>
      <c r="AL228" s="413"/>
      <c r="AM228" s="413"/>
      <c r="AN228" s="413"/>
      <c r="AO228" s="413"/>
      <c r="AP228" s="413"/>
      <c r="AQ228" s="413"/>
      <c r="AR228" s="413"/>
      <c r="AS228" s="413"/>
    </row>
    <row r="229" spans="1:45" ht="135">
      <c r="A229" s="426" t="s">
        <v>1368</v>
      </c>
      <c r="B229" s="413"/>
      <c r="C229" s="412" t="s">
        <v>1369</v>
      </c>
      <c r="D229" s="414"/>
      <c r="E229" s="413"/>
      <c r="F229" s="413"/>
      <c r="G229" s="413"/>
      <c r="H229" s="413"/>
      <c r="I229" s="413"/>
      <c r="J229" s="413"/>
      <c r="K229" s="413"/>
      <c r="L229" s="413"/>
      <c r="M229" s="413"/>
      <c r="N229" s="413"/>
      <c r="O229" s="413"/>
      <c r="P229" s="413">
        <v>772.6</v>
      </c>
      <c r="Q229" s="413">
        <f t="shared" si="83"/>
        <v>772.6</v>
      </c>
      <c r="R229" s="413">
        <v>772.6</v>
      </c>
      <c r="S229" s="413"/>
      <c r="T229" s="413"/>
      <c r="U229" s="413"/>
      <c r="V229" s="413"/>
      <c r="W229" s="413"/>
      <c r="X229" s="413"/>
      <c r="Y229" s="413">
        <f t="shared" si="84"/>
        <v>772.6</v>
      </c>
      <c r="Z229" s="412" t="s">
        <v>1370</v>
      </c>
      <c r="AA229" s="413"/>
      <c r="AB229" s="413"/>
      <c r="AC229" s="413"/>
      <c r="AD229" s="413"/>
      <c r="AE229" s="413"/>
      <c r="AF229" s="413"/>
      <c r="AG229" s="413"/>
      <c r="AH229" s="413"/>
      <c r="AI229" s="413"/>
      <c r="AJ229" s="413"/>
      <c r="AK229" s="413"/>
      <c r="AL229" s="413"/>
      <c r="AM229" s="413"/>
      <c r="AN229" s="413"/>
      <c r="AO229" s="413"/>
      <c r="AP229" s="413"/>
      <c r="AQ229" s="413"/>
      <c r="AR229" s="413"/>
      <c r="AS229" s="413"/>
    </row>
    <row r="230" spans="1:45" ht="75">
      <c r="A230" s="412" t="s">
        <v>824</v>
      </c>
      <c r="B230" s="413"/>
      <c r="C230" s="412" t="s">
        <v>1371</v>
      </c>
      <c r="D230" s="414"/>
      <c r="E230" s="413"/>
      <c r="F230" s="413"/>
      <c r="G230" s="413"/>
      <c r="H230" s="413"/>
      <c r="I230" s="413"/>
      <c r="J230" s="413"/>
      <c r="K230" s="413"/>
      <c r="L230" s="413"/>
      <c r="M230" s="413"/>
      <c r="N230" s="413"/>
      <c r="O230" s="413"/>
      <c r="P230" s="413">
        <v>28422.25</v>
      </c>
      <c r="Q230" s="413">
        <f t="shared" si="83"/>
        <v>28422.25</v>
      </c>
      <c r="R230" s="413"/>
      <c r="S230" s="413"/>
      <c r="T230" s="413"/>
      <c r="U230" s="413"/>
      <c r="V230" s="413"/>
      <c r="W230" s="413"/>
      <c r="X230" s="413"/>
      <c r="Y230" s="413"/>
      <c r="Z230" s="413"/>
      <c r="AA230" s="413"/>
      <c r="AB230" s="413"/>
      <c r="AC230" s="413"/>
      <c r="AD230" s="413"/>
      <c r="AE230" s="413"/>
      <c r="AF230" s="413"/>
      <c r="AG230" s="413"/>
      <c r="AH230" s="413"/>
      <c r="AI230" s="413"/>
      <c r="AJ230" s="413"/>
      <c r="AK230" s="413"/>
      <c r="AL230" s="413"/>
      <c r="AM230" s="413"/>
      <c r="AN230" s="413"/>
      <c r="AO230" s="413"/>
      <c r="AP230" s="413"/>
      <c r="AQ230" s="413"/>
      <c r="AR230" s="413"/>
      <c r="AS230" s="413"/>
    </row>
    <row r="231" spans="1:45" ht="90">
      <c r="A231" s="412" t="s">
        <v>824</v>
      </c>
      <c r="B231" s="413"/>
      <c r="C231" s="412" t="s">
        <v>1372</v>
      </c>
      <c r="D231" s="414"/>
      <c r="E231" s="413"/>
      <c r="F231" s="413"/>
      <c r="G231" s="413"/>
      <c r="H231" s="413"/>
      <c r="I231" s="413"/>
      <c r="J231" s="413"/>
      <c r="K231" s="413"/>
      <c r="L231" s="413"/>
      <c r="M231" s="413"/>
      <c r="N231" s="413"/>
      <c r="O231" s="413"/>
      <c r="P231" s="413">
        <v>13946.39</v>
      </c>
      <c r="Q231" s="413">
        <f t="shared" si="83"/>
        <v>13946.39</v>
      </c>
      <c r="R231" s="413">
        <f>+Q231</f>
        <v>13946.39</v>
      </c>
      <c r="S231" s="413"/>
      <c r="T231" s="413"/>
      <c r="U231" s="413"/>
      <c r="V231" s="413"/>
      <c r="W231" s="413"/>
      <c r="X231" s="413"/>
      <c r="Y231" s="413">
        <f>SUM(R231:X231)</f>
        <v>13946.39</v>
      </c>
      <c r="Z231" s="413"/>
      <c r="AA231" s="413"/>
      <c r="AB231" s="413"/>
      <c r="AC231" s="413"/>
      <c r="AD231" s="413"/>
      <c r="AE231" s="413"/>
      <c r="AF231" s="413"/>
      <c r="AG231" s="413"/>
      <c r="AH231" s="413"/>
      <c r="AI231" s="413"/>
      <c r="AJ231" s="413"/>
      <c r="AK231" s="413"/>
      <c r="AL231" s="413"/>
      <c r="AM231" s="413"/>
      <c r="AN231" s="413"/>
      <c r="AO231" s="413"/>
      <c r="AP231" s="413"/>
      <c r="AQ231" s="413"/>
      <c r="AR231" s="413"/>
      <c r="AS231" s="413"/>
    </row>
    <row r="232" spans="1:45">
      <c r="A232" s="413"/>
      <c r="B232" s="413"/>
      <c r="C232" s="413"/>
      <c r="D232" s="414"/>
      <c r="E232" s="413"/>
      <c r="F232" s="413"/>
      <c r="G232" s="413"/>
      <c r="H232" s="413"/>
      <c r="I232" s="413"/>
      <c r="J232" s="413"/>
      <c r="K232" s="413"/>
      <c r="L232" s="413"/>
      <c r="M232" s="413"/>
      <c r="N232" s="413"/>
      <c r="O232" s="413"/>
      <c r="P232" s="413"/>
      <c r="Q232" s="413"/>
      <c r="R232" s="413"/>
      <c r="S232" s="413"/>
      <c r="T232" s="413"/>
      <c r="U232" s="413"/>
      <c r="V232" s="413"/>
      <c r="W232" s="413"/>
      <c r="X232" s="413"/>
      <c r="Y232" s="413"/>
      <c r="Z232" s="413"/>
      <c r="AA232" s="413"/>
      <c r="AB232" s="413"/>
      <c r="AC232" s="413"/>
      <c r="AD232" s="413"/>
      <c r="AE232" s="413"/>
      <c r="AF232" s="413"/>
      <c r="AG232" s="413"/>
      <c r="AH232" s="413"/>
      <c r="AI232" s="413"/>
      <c r="AJ232" s="413"/>
      <c r="AK232" s="413"/>
      <c r="AL232" s="413"/>
      <c r="AM232" s="413"/>
      <c r="AN232" s="413"/>
      <c r="AO232" s="413"/>
      <c r="AP232" s="413"/>
      <c r="AQ232" s="413"/>
      <c r="AR232" s="413"/>
      <c r="AS232" s="413"/>
    </row>
    <row r="233" spans="1:45">
      <c r="A233" s="413"/>
      <c r="B233" s="413"/>
      <c r="C233" s="413"/>
      <c r="D233" s="414"/>
      <c r="E233" s="413"/>
      <c r="F233" s="413"/>
      <c r="G233" s="413"/>
      <c r="H233" s="413"/>
      <c r="I233" s="413"/>
      <c r="J233" s="413"/>
      <c r="K233" s="413"/>
      <c r="L233" s="413"/>
      <c r="M233" s="413"/>
      <c r="N233" s="413"/>
      <c r="O233" s="413"/>
      <c r="P233" s="413"/>
      <c r="Q233" s="413"/>
      <c r="R233" s="413"/>
      <c r="S233" s="413"/>
      <c r="T233" s="413"/>
      <c r="U233" s="413"/>
      <c r="V233" s="413"/>
      <c r="W233" s="413"/>
      <c r="X233" s="413"/>
      <c r="Y233" s="413"/>
      <c r="Z233" s="413"/>
      <c r="AA233" s="413"/>
      <c r="AB233" s="413"/>
      <c r="AC233" s="413"/>
      <c r="AD233" s="413"/>
      <c r="AE233" s="413"/>
      <c r="AF233" s="413"/>
      <c r="AG233" s="413"/>
      <c r="AH233" s="413"/>
      <c r="AI233" s="413"/>
      <c r="AJ233" s="413"/>
      <c r="AK233" s="413"/>
      <c r="AL233" s="413"/>
      <c r="AM233" s="413"/>
      <c r="AN233" s="413"/>
      <c r="AO233" s="413"/>
      <c r="AP233" s="413"/>
      <c r="AQ233" s="413"/>
      <c r="AR233" s="413"/>
      <c r="AS233" s="413"/>
    </row>
    <row r="234" spans="1:45">
      <c r="A234" s="413"/>
      <c r="B234" s="413"/>
      <c r="C234" s="413"/>
      <c r="D234" s="414"/>
      <c r="E234" s="413"/>
      <c r="F234" s="413"/>
      <c r="G234" s="413"/>
      <c r="H234" s="413"/>
      <c r="I234" s="413"/>
      <c r="J234" s="413"/>
      <c r="K234" s="413"/>
      <c r="L234" s="413"/>
      <c r="M234" s="413"/>
      <c r="N234" s="413"/>
      <c r="O234" s="413"/>
      <c r="P234" s="413"/>
      <c r="Q234" s="413"/>
      <c r="R234" s="413"/>
      <c r="S234" s="413"/>
      <c r="T234" s="413"/>
      <c r="U234" s="413"/>
      <c r="V234" s="413"/>
      <c r="W234" s="413"/>
      <c r="X234" s="413"/>
      <c r="Y234" s="413"/>
      <c r="Z234" s="413"/>
      <c r="AA234" s="413"/>
      <c r="AB234" s="413"/>
      <c r="AC234" s="413"/>
      <c r="AD234" s="413"/>
      <c r="AE234" s="413"/>
      <c r="AF234" s="413"/>
      <c r="AG234" s="413"/>
      <c r="AH234" s="413"/>
      <c r="AI234" s="413"/>
      <c r="AJ234" s="413"/>
      <c r="AK234" s="413"/>
      <c r="AL234" s="413"/>
      <c r="AM234" s="413"/>
      <c r="AN234" s="413"/>
      <c r="AO234" s="413"/>
      <c r="AP234" s="413"/>
      <c r="AQ234" s="413"/>
      <c r="AR234" s="413"/>
      <c r="AS234" s="413"/>
    </row>
    <row r="235" spans="1:45">
      <c r="A235" s="413"/>
      <c r="B235" s="413"/>
      <c r="C235" s="413"/>
      <c r="D235" s="414"/>
      <c r="E235" s="413"/>
      <c r="F235" s="413"/>
      <c r="G235" s="413"/>
      <c r="H235" s="413"/>
      <c r="I235" s="413"/>
      <c r="J235" s="413"/>
      <c r="K235" s="413"/>
      <c r="L235" s="413"/>
      <c r="M235" s="413"/>
      <c r="N235" s="413"/>
      <c r="O235" s="413"/>
      <c r="P235" s="413"/>
      <c r="Q235" s="413"/>
      <c r="R235" s="413"/>
      <c r="S235" s="413"/>
      <c r="T235" s="413"/>
      <c r="U235" s="413"/>
      <c r="V235" s="413"/>
      <c r="W235" s="413"/>
      <c r="X235" s="413"/>
      <c r="Y235" s="413"/>
      <c r="Z235" s="413"/>
      <c r="AA235" s="413"/>
      <c r="AB235" s="413"/>
      <c r="AC235" s="413"/>
      <c r="AD235" s="413"/>
      <c r="AE235" s="413"/>
      <c r="AF235" s="413"/>
      <c r="AG235" s="413"/>
      <c r="AH235" s="413"/>
      <c r="AI235" s="413"/>
      <c r="AJ235" s="413"/>
      <c r="AK235" s="413"/>
      <c r="AL235" s="413"/>
      <c r="AM235" s="413"/>
      <c r="AN235" s="413"/>
      <c r="AO235" s="413"/>
      <c r="AP235" s="413"/>
      <c r="AQ235" s="413"/>
      <c r="AR235" s="413"/>
      <c r="AS235" s="413"/>
    </row>
  </sheetData>
  <sheetProtection selectLockedCells="1" selectUnlockedCells="1"/>
  <autoFilter ref="A5:AS214">
    <filterColumn colId="0">
      <filters>
        <filter val="GESTIÓN DE PLANIFICACIÓN"/>
      </filters>
    </filterColumn>
  </autoFilter>
  <mergeCells count="15">
    <mergeCell ref="Z4:AB4"/>
    <mergeCell ref="AC4:AD4"/>
    <mergeCell ref="AG4:AS4"/>
    <mergeCell ref="AT153:AT154"/>
    <mergeCell ref="A217:I217"/>
    <mergeCell ref="B1:V1"/>
    <mergeCell ref="B2:V2"/>
    <mergeCell ref="B3:AF3"/>
    <mergeCell ref="AG3:AS3"/>
    <mergeCell ref="B4:D4"/>
    <mergeCell ref="F4:G4"/>
    <mergeCell ref="J4:K4"/>
    <mergeCell ref="M4:N4"/>
    <mergeCell ref="O4:P4"/>
    <mergeCell ref="R4:X4"/>
  </mergeCells>
  <pageMargins left="0.35" right="0.22" top="0.74791666666666667" bottom="0.74791666666666667" header="0.51180555555555551" footer="0.51180555555555551"/>
  <pageSetup paperSize="9" scale="44" firstPageNumber="0" orientation="landscape" horizontalDpi="300" verticalDpi="300" r:id="rId1"/>
  <headerFooter alignWithMargins="0"/>
  <rowBreaks count="2" manualBreakCount="2">
    <brk id="220" max="1638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4.POA 2015-PRESUPUESTO</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 Robles</dc:creator>
  <cp:lastModifiedBy>Miryam Robles</cp:lastModifiedBy>
  <dcterms:created xsi:type="dcterms:W3CDTF">2016-03-18T15:48:12Z</dcterms:created>
  <dcterms:modified xsi:type="dcterms:W3CDTF">2016-03-18T15:48:38Z</dcterms:modified>
</cp:coreProperties>
</file>